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7" documentId="13_ncr:1_{8D1512B6-3E86-43CC-AB39-68D0AB847C31}" xr6:coauthVersionLast="47" xr6:coauthVersionMax="47" xr10:uidLastSave="{31CEE4B5-00B8-4EB4-B604-1ACA21E8B2AD}"/>
  <bookViews>
    <workbookView xWindow="-110" yWindow="-110" windowWidth="25820" windowHeight="15500" xr2:uid="{00000000-000D-0000-FFFF-FFFF00000000}"/>
  </bookViews>
  <sheets>
    <sheet name="Global" sheetId="2" r:id="rId1"/>
    <sheet name="Vie associative" sheetId="1" r:id="rId2"/>
    <sheet name="Charges de structure" sheetId="3" r:id="rId3"/>
    <sheet name="Activité scrabble" sheetId="4" r:id="rId4"/>
    <sheet name="Secteur commercial" sheetId="7" r:id="rId5"/>
  </sheets>
  <definedNames>
    <definedName name="_xlnm.Print_Area" localSheetId="3">'Activité scrabble'!$A$1:$AF$43</definedName>
    <definedName name="_xlnm.Print_Area" localSheetId="2">'Charges de structure'!$A$1:$J$39</definedName>
    <definedName name="_xlnm.Print_Area" localSheetId="0">Global!$A$1:$U$51</definedName>
    <definedName name="_xlnm.Print_Area" localSheetId="4">'Secteur commercial'!$A$1:$V$28</definedName>
    <definedName name="_xlnm.Print_Area" localSheetId="1">'Vie associative'!$A$1:$V$53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2" l="1"/>
  <c r="C16" i="2"/>
  <c r="D16" i="2"/>
  <c r="D4" i="2"/>
  <c r="O34" i="2"/>
  <c r="N34" i="2"/>
  <c r="C19" i="4"/>
  <c r="D19" i="4"/>
  <c r="F19" i="4"/>
  <c r="G19" i="4"/>
  <c r="D11" i="7" l="1"/>
  <c r="E11" i="7"/>
  <c r="E26" i="7" s="1"/>
  <c r="D45" i="2" s="1"/>
  <c r="C41" i="4"/>
  <c r="D41" i="4"/>
  <c r="F41" i="4"/>
  <c r="D22" i="2" s="1"/>
  <c r="G41" i="4"/>
  <c r="D26" i="4"/>
  <c r="G26" i="4"/>
  <c r="D24" i="7"/>
  <c r="E24" i="7"/>
  <c r="C21" i="2"/>
  <c r="C20" i="2"/>
  <c r="D20" i="2"/>
  <c r="C19" i="2"/>
  <c r="D19" i="2"/>
  <c r="C43" i="2"/>
  <c r="C40" i="2"/>
  <c r="C39" i="2"/>
  <c r="C41" i="2" s="1"/>
  <c r="D43" i="2"/>
  <c r="D40" i="2"/>
  <c r="D39" i="2"/>
  <c r="D41" i="2" s="1"/>
  <c r="C36" i="2"/>
  <c r="C35" i="2"/>
  <c r="C34" i="2"/>
  <c r="C33" i="2"/>
  <c r="C30" i="2"/>
  <c r="C29" i="2"/>
  <c r="C28" i="2"/>
  <c r="C31" i="2" s="1"/>
  <c r="D36" i="2"/>
  <c r="D35" i="2"/>
  <c r="D34" i="2"/>
  <c r="D33" i="2"/>
  <c r="D37" i="2" s="1"/>
  <c r="D30" i="2"/>
  <c r="D29" i="2"/>
  <c r="D28" i="2"/>
  <c r="D31" i="2" s="1"/>
  <c r="C26" i="2"/>
  <c r="D26" i="2"/>
  <c r="D25" i="2"/>
  <c r="C15" i="2"/>
  <c r="C14" i="2"/>
  <c r="C13" i="2"/>
  <c r="C12" i="2"/>
  <c r="C11" i="2"/>
  <c r="C10" i="2"/>
  <c r="C9" i="2"/>
  <c r="C17" i="2" s="1"/>
  <c r="C5" i="2"/>
  <c r="C4" i="2"/>
  <c r="C6" i="2" s="1"/>
  <c r="D15" i="2"/>
  <c r="D14" i="2"/>
  <c r="D13" i="2"/>
  <c r="D12" i="2"/>
  <c r="D11" i="2"/>
  <c r="D10" i="2"/>
  <c r="D9" i="2"/>
  <c r="D17" i="2" s="1"/>
  <c r="D5" i="2"/>
  <c r="D6" i="2"/>
  <c r="N36" i="2"/>
  <c r="O36" i="2"/>
  <c r="N30" i="2"/>
  <c r="N29" i="2"/>
  <c r="N31" i="2" s="1"/>
  <c r="O30" i="2"/>
  <c r="O29" i="2"/>
  <c r="O31" i="2" s="1"/>
  <c r="N17" i="2"/>
  <c r="O17" i="2"/>
  <c r="N16" i="2"/>
  <c r="O16" i="2"/>
  <c r="N15" i="2"/>
  <c r="O15" i="2"/>
  <c r="N14" i="2"/>
  <c r="O14" i="2"/>
  <c r="N13" i="2"/>
  <c r="O13" i="2"/>
  <c r="N10" i="2"/>
  <c r="N11" i="2" s="1"/>
  <c r="O10" i="2"/>
  <c r="O11" i="2" s="1"/>
  <c r="N8" i="2"/>
  <c r="O8" i="2"/>
  <c r="N4" i="2"/>
  <c r="N5" i="2" s="1"/>
  <c r="O4" i="2"/>
  <c r="O5" i="2" s="1"/>
  <c r="D48" i="1"/>
  <c r="E48" i="1"/>
  <c r="E50" i="1" s="1"/>
  <c r="E52" i="1" s="1"/>
  <c r="D33" i="1"/>
  <c r="D50" i="1" s="1"/>
  <c r="E33" i="1"/>
  <c r="D31" i="1"/>
  <c r="E31" i="1"/>
  <c r="D18" i="1"/>
  <c r="E18" i="1"/>
  <c r="D13" i="1"/>
  <c r="E13" i="1"/>
  <c r="N50" i="1"/>
  <c r="O50" i="1"/>
  <c r="D37" i="3"/>
  <c r="C35" i="3"/>
  <c r="D35" i="3"/>
  <c r="C30" i="3"/>
  <c r="C37" i="3" s="1"/>
  <c r="D30" i="3"/>
  <c r="C22" i="3"/>
  <c r="D22" i="3"/>
  <c r="E40" i="4"/>
  <c r="E39" i="4"/>
  <c r="E38" i="4"/>
  <c r="E37" i="4"/>
  <c r="E36" i="4"/>
  <c r="H40" i="4"/>
  <c r="H39" i="4"/>
  <c r="H38" i="4"/>
  <c r="H37" i="4"/>
  <c r="H36" i="4"/>
  <c r="D43" i="4"/>
  <c r="G34" i="4"/>
  <c r="H34" i="4" s="1"/>
  <c r="F34" i="4"/>
  <c r="D34" i="4"/>
  <c r="E34" i="4" s="1"/>
  <c r="C34" i="4"/>
  <c r="G30" i="4"/>
  <c r="F30" i="4"/>
  <c r="D30" i="4"/>
  <c r="C30" i="4"/>
  <c r="F26" i="4"/>
  <c r="E26" i="4"/>
  <c r="C26" i="4"/>
  <c r="E25" i="4"/>
  <c r="E24" i="4"/>
  <c r="E23" i="4"/>
  <c r="E22" i="4"/>
  <c r="E21" i="4"/>
  <c r="H25" i="4"/>
  <c r="H24" i="4"/>
  <c r="H23" i="4"/>
  <c r="H22" i="4"/>
  <c r="H21" i="4"/>
  <c r="E19" i="4"/>
  <c r="D10" i="4"/>
  <c r="C10" i="4"/>
  <c r="G10" i="4"/>
  <c r="F10" i="4"/>
  <c r="E18" i="4"/>
  <c r="E17" i="4"/>
  <c r="E16" i="4"/>
  <c r="E15" i="4"/>
  <c r="E14" i="4"/>
  <c r="E13" i="4"/>
  <c r="E12" i="4"/>
  <c r="H19" i="4"/>
  <c r="H18" i="4"/>
  <c r="H17" i="4"/>
  <c r="H16" i="4"/>
  <c r="H15" i="4"/>
  <c r="H14" i="4"/>
  <c r="H13" i="4"/>
  <c r="H12" i="4"/>
  <c r="K18" i="4"/>
  <c r="E9" i="4"/>
  <c r="E8" i="4"/>
  <c r="E7" i="4"/>
  <c r="E6" i="4"/>
  <c r="E10" i="4" s="1"/>
  <c r="H9" i="4"/>
  <c r="H8" i="4"/>
  <c r="H7" i="4"/>
  <c r="H6" i="4"/>
  <c r="H10" i="4" s="1"/>
  <c r="D26" i="7"/>
  <c r="D28" i="7" s="1"/>
  <c r="D21" i="7"/>
  <c r="E21" i="7"/>
  <c r="D14" i="7"/>
  <c r="E14" i="7"/>
  <c r="N26" i="7"/>
  <c r="O26" i="7"/>
  <c r="D17" i="3"/>
  <c r="C17" i="3"/>
  <c r="D35" i="1"/>
  <c r="E35" i="1"/>
  <c r="C20" i="3"/>
  <c r="D20" i="3"/>
  <c r="C29" i="3"/>
  <c r="F12" i="4"/>
  <c r="C15" i="3"/>
  <c r="D15" i="3"/>
  <c r="H30" i="4" l="1"/>
  <c r="C43" i="4"/>
  <c r="D52" i="1"/>
  <c r="C37" i="2"/>
  <c r="C45" i="2"/>
  <c r="C25" i="2"/>
  <c r="E41" i="4"/>
  <c r="C22" i="2"/>
  <c r="C23" i="2" s="1"/>
  <c r="C47" i="2" s="1"/>
  <c r="F43" i="4"/>
  <c r="H41" i="4"/>
  <c r="G43" i="4"/>
  <c r="E30" i="4"/>
  <c r="H26" i="4"/>
  <c r="D21" i="2"/>
  <c r="E43" i="4"/>
  <c r="E28" i="7"/>
  <c r="D23" i="2"/>
  <c r="D47" i="2" s="1"/>
  <c r="N19" i="2"/>
  <c r="N47" i="2" s="1"/>
  <c r="O19" i="2"/>
  <c r="O47" i="2" s="1"/>
  <c r="H43" i="4" l="1"/>
  <c r="C49" i="2"/>
  <c r="D49" i="2"/>
  <c r="I38" i="4"/>
  <c r="E13" i="2"/>
  <c r="E9" i="2"/>
  <c r="E20" i="3"/>
  <c r="E15" i="3"/>
  <c r="E29" i="3"/>
  <c r="F35" i="1"/>
  <c r="P30" i="2"/>
  <c r="P29" i="2"/>
  <c r="I26" i="4"/>
  <c r="J26" i="4"/>
  <c r="J19" i="4"/>
  <c r="J10" i="4"/>
  <c r="J41" i="4"/>
  <c r="E30" i="2" l="1"/>
  <c r="E43" i="2"/>
  <c r="E39" i="2"/>
  <c r="E29" i="2"/>
  <c r="E28" i="2"/>
  <c r="E14" i="2"/>
  <c r="E15" i="2"/>
  <c r="E40" i="2"/>
  <c r="E36" i="2"/>
  <c r="E35" i="2"/>
  <c r="E34" i="2"/>
  <c r="E33" i="2"/>
  <c r="E5" i="2"/>
  <c r="E4" i="2"/>
  <c r="E12" i="2"/>
  <c r="E11" i="2"/>
  <c r="E10" i="2"/>
  <c r="P34" i="2"/>
  <c r="E35" i="3"/>
  <c r="P10" i="2"/>
  <c r="P8" i="2"/>
  <c r="P4" i="2"/>
  <c r="P5" i="2" s="1"/>
  <c r="Q30" i="2"/>
  <c r="P26" i="2"/>
  <c r="P22" i="2"/>
  <c r="F48" i="1"/>
  <c r="E26" i="2" s="1"/>
  <c r="F31" i="1"/>
  <c r="F18" i="1"/>
  <c r="F13" i="1"/>
  <c r="F33" i="1" s="1"/>
  <c r="E22" i="3"/>
  <c r="E30" i="3"/>
  <c r="F21" i="7"/>
  <c r="F26" i="7" s="1"/>
  <c r="E45" i="2" s="1"/>
  <c r="F24" i="7"/>
  <c r="F14" i="7"/>
  <c r="F11" i="7"/>
  <c r="P26" i="7"/>
  <c r="P36" i="2" s="1"/>
  <c r="I30" i="4"/>
  <c r="I41" i="4"/>
  <c r="K41" i="4" s="1"/>
  <c r="E21" i="2"/>
  <c r="J34" i="4"/>
  <c r="K34" i="4" s="1"/>
  <c r="J30" i="4"/>
  <c r="P16" i="2" s="1"/>
  <c r="P15" i="2"/>
  <c r="I19" i="4"/>
  <c r="E20" i="2" s="1"/>
  <c r="I10" i="4"/>
  <c r="E19" i="2" s="1"/>
  <c r="P13" i="2"/>
  <c r="K7" i="4"/>
  <c r="K8" i="4"/>
  <c r="K9" i="4"/>
  <c r="K12" i="4"/>
  <c r="K13" i="4"/>
  <c r="K14" i="4"/>
  <c r="K15" i="4"/>
  <c r="K16" i="4"/>
  <c r="K17" i="4"/>
  <c r="K21" i="4"/>
  <c r="K22" i="4"/>
  <c r="K23" i="4"/>
  <c r="K24" i="4"/>
  <c r="K25" i="4"/>
  <c r="K28" i="4"/>
  <c r="K29" i="4"/>
  <c r="K32" i="4"/>
  <c r="K33" i="4"/>
  <c r="K36" i="4"/>
  <c r="K37" i="4"/>
  <c r="K38" i="4"/>
  <c r="K39" i="4"/>
  <c r="K40" i="4"/>
  <c r="K6" i="4"/>
  <c r="P50" i="1"/>
  <c r="E41" i="2" l="1"/>
  <c r="E22" i="2"/>
  <c r="E23" i="2" s="1"/>
  <c r="K10" i="4"/>
  <c r="E17" i="2"/>
  <c r="F28" i="7"/>
  <c r="P17" i="2"/>
  <c r="J43" i="4"/>
  <c r="K30" i="4"/>
  <c r="P14" i="2"/>
  <c r="P11" i="2"/>
  <c r="P31" i="2"/>
  <c r="I43" i="4"/>
  <c r="E37" i="3"/>
  <c r="K26" i="4"/>
  <c r="K19" i="4"/>
  <c r="E31" i="2"/>
  <c r="E37" i="2"/>
  <c r="E6" i="2"/>
  <c r="F26" i="2"/>
  <c r="F50" i="1" l="1"/>
  <c r="F52" i="1" s="1"/>
  <c r="E25" i="2"/>
  <c r="E47" i="2" s="1"/>
  <c r="P19" i="2"/>
  <c r="P47" i="2" s="1"/>
  <c r="K43" i="4"/>
  <c r="O33" i="4"/>
  <c r="O32" i="4"/>
  <c r="O29" i="4"/>
  <c r="E49" i="2" l="1"/>
  <c r="O39" i="4"/>
  <c r="R26" i="7" l="1"/>
  <c r="H10" i="2"/>
  <c r="G34" i="2" l="1"/>
  <c r="G33" i="2"/>
  <c r="G35" i="3"/>
  <c r="S39" i="4"/>
  <c r="Q34" i="4"/>
  <c r="R34" i="4"/>
  <c r="Q26" i="7"/>
  <c r="R36" i="2" l="1"/>
  <c r="H24" i="7"/>
  <c r="H21" i="7"/>
  <c r="H14" i="7"/>
  <c r="H11" i="7"/>
  <c r="H26" i="7" l="1"/>
  <c r="H28" i="7" s="1"/>
  <c r="H39" i="2"/>
  <c r="V34" i="4"/>
  <c r="W33" i="4"/>
  <c r="I18" i="1"/>
  <c r="I24" i="7"/>
  <c r="I21" i="7"/>
  <c r="I14" i="7"/>
  <c r="I11" i="7"/>
  <c r="W39" i="4"/>
  <c r="S26" i="7"/>
  <c r="S36" i="2" s="1"/>
  <c r="G45" i="2" l="1"/>
  <c r="I26" i="7"/>
  <c r="I28" i="7" s="1"/>
  <c r="F35" i="3"/>
  <c r="I35" i="3"/>
  <c r="H45" i="2" l="1"/>
  <c r="J48" i="1" l="1"/>
  <c r="J31" i="1"/>
  <c r="J18" i="1"/>
  <c r="J13" i="1"/>
  <c r="T50" i="1"/>
  <c r="I30" i="3"/>
  <c r="I22" i="3"/>
  <c r="Z41" i="4"/>
  <c r="Y41" i="4"/>
  <c r="AA40" i="4"/>
  <c r="AA38" i="4"/>
  <c r="AA37" i="4"/>
  <c r="AA36" i="4"/>
  <c r="Z34" i="4"/>
  <c r="Y34" i="4"/>
  <c r="AA33" i="4"/>
  <c r="AA32" i="4"/>
  <c r="Z30" i="4"/>
  <c r="Y30" i="4"/>
  <c r="AA29" i="4"/>
  <c r="AA28" i="4"/>
  <c r="Z26" i="4"/>
  <c r="Y26" i="4"/>
  <c r="AA25" i="4"/>
  <c r="AA24" i="4"/>
  <c r="AA23" i="4"/>
  <c r="AA22" i="4"/>
  <c r="AA21" i="4"/>
  <c r="Z19" i="4"/>
  <c r="Y19" i="4"/>
  <c r="AA17" i="4"/>
  <c r="AA16" i="4"/>
  <c r="AA15" i="4"/>
  <c r="AA14" i="4"/>
  <c r="AA13" i="4"/>
  <c r="AA12" i="4"/>
  <c r="Z10" i="4"/>
  <c r="Y10" i="4"/>
  <c r="AA9" i="4"/>
  <c r="AA8" i="4"/>
  <c r="AA7" i="4"/>
  <c r="AA6" i="4"/>
  <c r="J24" i="7"/>
  <c r="J21" i="7"/>
  <c r="J14" i="7"/>
  <c r="J11" i="7"/>
  <c r="T26" i="7"/>
  <c r="J26" i="7" l="1"/>
  <c r="J28" i="7" s="1"/>
  <c r="AA26" i="4"/>
  <c r="Y43" i="4"/>
  <c r="Z43" i="4"/>
  <c r="AA30" i="4"/>
  <c r="AA34" i="4"/>
  <c r="AA41" i="4"/>
  <c r="J33" i="1"/>
  <c r="J50" i="1" s="1"/>
  <c r="J52" i="1" s="1"/>
  <c r="I37" i="3"/>
  <c r="AA19" i="4"/>
  <c r="AA10" i="4"/>
  <c r="N34" i="4"/>
  <c r="M41" i="4"/>
  <c r="G24" i="7"/>
  <c r="AA43" i="4" l="1"/>
  <c r="Q36" i="2"/>
  <c r="G21" i="7"/>
  <c r="G14" i="7"/>
  <c r="G11" i="7"/>
  <c r="G26" i="7" l="1"/>
  <c r="G18" i="1"/>
  <c r="T36" i="2"/>
  <c r="AE40" i="4"/>
  <c r="AE38" i="4"/>
  <c r="AE37" i="4"/>
  <c r="AE36" i="4"/>
  <c r="AE33" i="4"/>
  <c r="AE32" i="4"/>
  <c r="AE29" i="4"/>
  <c r="AE28" i="4"/>
  <c r="AE25" i="4"/>
  <c r="AE24" i="4"/>
  <c r="AE23" i="4"/>
  <c r="AE22" i="4"/>
  <c r="AE21" i="4"/>
  <c r="AE17" i="4"/>
  <c r="AE16" i="4"/>
  <c r="AE15" i="4"/>
  <c r="AE14" i="4"/>
  <c r="AE13" i="4"/>
  <c r="AE12" i="4"/>
  <c r="AE9" i="4"/>
  <c r="AE8" i="4"/>
  <c r="AE7" i="4"/>
  <c r="AE6" i="4"/>
  <c r="AC10" i="4"/>
  <c r="AD10" i="4"/>
  <c r="AC19" i="4"/>
  <c r="AD19" i="4"/>
  <c r="AC26" i="4"/>
  <c r="AD26" i="4"/>
  <c r="AC30" i="4"/>
  <c r="AD30" i="4"/>
  <c r="AC34" i="4"/>
  <c r="AD34" i="4"/>
  <c r="AC41" i="4"/>
  <c r="AD41" i="4"/>
  <c r="J22" i="3"/>
  <c r="J30" i="3"/>
  <c r="J35" i="3"/>
  <c r="F43" i="2"/>
  <c r="H43" i="2"/>
  <c r="G43" i="2"/>
  <c r="J43" i="2"/>
  <c r="I43" i="2"/>
  <c r="K21" i="7"/>
  <c r="K14" i="7"/>
  <c r="K11" i="7"/>
  <c r="F45" i="2" l="1"/>
  <c r="G28" i="7"/>
  <c r="AE10" i="4"/>
  <c r="K26" i="7"/>
  <c r="J45" i="2" s="1"/>
  <c r="AE30" i="4"/>
  <c r="J37" i="3"/>
  <c r="AE34" i="4"/>
  <c r="AE19" i="4"/>
  <c r="I45" i="2"/>
  <c r="AE41" i="4"/>
  <c r="AC43" i="4"/>
  <c r="AD43" i="4"/>
  <c r="AE26" i="4"/>
  <c r="U26" i="7"/>
  <c r="U36" i="2" s="1"/>
  <c r="I26" i="2"/>
  <c r="T4" i="2"/>
  <c r="T5" i="2" s="1"/>
  <c r="T8" i="2"/>
  <c r="T10" i="2"/>
  <c r="T21" i="2"/>
  <c r="T22" i="2" s="1"/>
  <c r="T25" i="2"/>
  <c r="T26" i="2" s="1"/>
  <c r="T29" i="2"/>
  <c r="T30" i="2"/>
  <c r="T34" i="2"/>
  <c r="I4" i="2"/>
  <c r="I5" i="2"/>
  <c r="I9" i="2"/>
  <c r="I10" i="2"/>
  <c r="I11" i="2"/>
  <c r="I12" i="2"/>
  <c r="I13" i="2"/>
  <c r="I14" i="2"/>
  <c r="I15" i="2"/>
  <c r="I16" i="2"/>
  <c r="I28" i="2"/>
  <c r="I29" i="2"/>
  <c r="I30" i="2"/>
  <c r="I33" i="2"/>
  <c r="I34" i="2"/>
  <c r="I35" i="2"/>
  <c r="I36" i="2"/>
  <c r="I39" i="2"/>
  <c r="I40" i="2"/>
  <c r="T15" i="2"/>
  <c r="I21" i="2"/>
  <c r="T14" i="2"/>
  <c r="I20" i="2"/>
  <c r="T13" i="2"/>
  <c r="I19" i="2"/>
  <c r="AE43" i="4" l="1"/>
  <c r="I25" i="2"/>
  <c r="T31" i="2"/>
  <c r="K28" i="7"/>
  <c r="T16" i="2"/>
  <c r="T17" i="2"/>
  <c r="T11" i="2"/>
  <c r="I37" i="2"/>
  <c r="I31" i="2"/>
  <c r="I41" i="2"/>
  <c r="I22" i="2"/>
  <c r="I23" i="2" s="1"/>
  <c r="I17" i="2"/>
  <c r="I6" i="2"/>
  <c r="G26" i="2"/>
  <c r="J26" i="2"/>
  <c r="R34" i="2"/>
  <c r="S34" i="2"/>
  <c r="Q34" i="2"/>
  <c r="R30" i="2"/>
  <c r="R29" i="2"/>
  <c r="S29" i="2"/>
  <c r="Q29" i="2"/>
  <c r="R25" i="2"/>
  <c r="R26" i="2" s="1"/>
  <c r="S25" i="2"/>
  <c r="S26" i="2" s="1"/>
  <c r="Q25" i="2"/>
  <c r="Q26" i="2" s="1"/>
  <c r="R21" i="2"/>
  <c r="R22" i="2" s="1"/>
  <c r="S21" i="2"/>
  <c r="S22" i="2" s="1"/>
  <c r="Q21" i="2"/>
  <c r="Q22" i="2" s="1"/>
  <c r="R10" i="2"/>
  <c r="S10" i="2"/>
  <c r="Q10" i="2"/>
  <c r="R8" i="2"/>
  <c r="S8" i="2"/>
  <c r="Q8" i="2"/>
  <c r="R4" i="2"/>
  <c r="R5" i="2" s="1"/>
  <c r="S4" i="2"/>
  <c r="S5" i="2" s="1"/>
  <c r="Q4" i="2"/>
  <c r="Q5" i="2" s="1"/>
  <c r="G40" i="2"/>
  <c r="H40" i="2"/>
  <c r="F40" i="2"/>
  <c r="G36" i="2"/>
  <c r="H36" i="2"/>
  <c r="F36" i="2"/>
  <c r="G35" i="2"/>
  <c r="H35" i="2"/>
  <c r="F35" i="2"/>
  <c r="H34" i="2"/>
  <c r="F34" i="2"/>
  <c r="H33" i="2"/>
  <c r="F33" i="2"/>
  <c r="G30" i="2"/>
  <c r="H30" i="2"/>
  <c r="F30" i="2"/>
  <c r="G29" i="2"/>
  <c r="H29" i="2"/>
  <c r="F29" i="2"/>
  <c r="G28" i="2"/>
  <c r="H28" i="2"/>
  <c r="F28" i="2"/>
  <c r="Q50" i="1"/>
  <c r="S50" i="1"/>
  <c r="R50" i="1"/>
  <c r="G48" i="1"/>
  <c r="I48" i="1"/>
  <c r="H26" i="2" s="1"/>
  <c r="H48" i="1"/>
  <c r="G31" i="1"/>
  <c r="I31" i="1"/>
  <c r="H31" i="1"/>
  <c r="H18" i="1"/>
  <c r="G13" i="1"/>
  <c r="I13" i="1"/>
  <c r="H13" i="1"/>
  <c r="H35" i="3"/>
  <c r="F30" i="3"/>
  <c r="H30" i="3"/>
  <c r="G30" i="3"/>
  <c r="F22" i="3"/>
  <c r="H22" i="3"/>
  <c r="G22" i="3"/>
  <c r="N41" i="4"/>
  <c r="V41" i="4"/>
  <c r="U41" i="4"/>
  <c r="R41" i="4"/>
  <c r="Q41" i="4"/>
  <c r="O40" i="4"/>
  <c r="W40" i="4"/>
  <c r="S40" i="4"/>
  <c r="O38" i="4"/>
  <c r="W38" i="4"/>
  <c r="S38" i="4"/>
  <c r="O37" i="4"/>
  <c r="W37" i="4"/>
  <c r="S37" i="4"/>
  <c r="O36" i="4"/>
  <c r="W36" i="4"/>
  <c r="S36" i="4"/>
  <c r="Q17" i="2"/>
  <c r="M34" i="4"/>
  <c r="S17" i="2"/>
  <c r="R17" i="2"/>
  <c r="W32" i="4"/>
  <c r="W34" i="4" s="1"/>
  <c r="S32" i="4"/>
  <c r="N30" i="4"/>
  <c r="M30" i="4"/>
  <c r="V30" i="4"/>
  <c r="U30" i="4"/>
  <c r="R30" i="4"/>
  <c r="Q30" i="4"/>
  <c r="W29" i="4"/>
  <c r="S29" i="4"/>
  <c r="O28" i="4"/>
  <c r="W28" i="4"/>
  <c r="S28" i="4"/>
  <c r="N26" i="4"/>
  <c r="M26" i="4"/>
  <c r="V26" i="4"/>
  <c r="U26" i="4"/>
  <c r="R26" i="4"/>
  <c r="Q26" i="4"/>
  <c r="O25" i="4"/>
  <c r="W25" i="4"/>
  <c r="S25" i="4"/>
  <c r="O24" i="4"/>
  <c r="W24" i="4"/>
  <c r="S24" i="4"/>
  <c r="O23" i="4"/>
  <c r="W23" i="4"/>
  <c r="S23" i="4"/>
  <c r="O22" i="4"/>
  <c r="W22" i="4"/>
  <c r="S22" i="4"/>
  <c r="O21" i="4"/>
  <c r="W21" i="4"/>
  <c r="S21" i="4"/>
  <c r="N19" i="4"/>
  <c r="M19" i="4"/>
  <c r="V19" i="4"/>
  <c r="U19" i="4"/>
  <c r="R19" i="4"/>
  <c r="Q19" i="4"/>
  <c r="O17" i="4"/>
  <c r="W17" i="4"/>
  <c r="S17" i="4"/>
  <c r="O16" i="4"/>
  <c r="W16" i="4"/>
  <c r="S16" i="4"/>
  <c r="O15" i="4"/>
  <c r="W15" i="4"/>
  <c r="S15" i="4"/>
  <c r="O14" i="4"/>
  <c r="W14" i="4"/>
  <c r="S14" i="4"/>
  <c r="O13" i="4"/>
  <c r="W13" i="4"/>
  <c r="S13" i="4"/>
  <c r="O12" i="4"/>
  <c r="W12" i="4"/>
  <c r="S12" i="4"/>
  <c r="N10" i="4"/>
  <c r="M10" i="4"/>
  <c r="V10" i="4"/>
  <c r="U10" i="4"/>
  <c r="R10" i="4"/>
  <c r="Q10" i="4"/>
  <c r="O9" i="4"/>
  <c r="W9" i="4"/>
  <c r="S9" i="4"/>
  <c r="O8" i="4"/>
  <c r="W8" i="4"/>
  <c r="S8" i="4"/>
  <c r="O7" i="4"/>
  <c r="W7" i="4"/>
  <c r="S7" i="4"/>
  <c r="O6" i="4"/>
  <c r="W6" i="4"/>
  <c r="S6" i="4"/>
  <c r="T18" i="2" l="1"/>
  <c r="R11" i="2"/>
  <c r="S16" i="2"/>
  <c r="Q31" i="2"/>
  <c r="G37" i="3"/>
  <c r="R16" i="2"/>
  <c r="Q16" i="2"/>
  <c r="V43" i="4"/>
  <c r="W19" i="4"/>
  <c r="U43" i="4"/>
  <c r="H37" i="3"/>
  <c r="I47" i="2"/>
  <c r="T47" i="2"/>
  <c r="G33" i="1"/>
  <c r="G50" i="1" s="1"/>
  <c r="G52" i="1" s="1"/>
  <c r="F37" i="3"/>
  <c r="G22" i="2"/>
  <c r="R43" i="4"/>
  <c r="N43" i="4"/>
  <c r="H22" i="2"/>
  <c r="Q43" i="4"/>
  <c r="M43" i="4"/>
  <c r="W26" i="4"/>
  <c r="F22" i="2"/>
  <c r="R31" i="2"/>
  <c r="S31" i="2"/>
  <c r="S11" i="2"/>
  <c r="Q11" i="2"/>
  <c r="W41" i="4"/>
  <c r="Q13" i="2"/>
  <c r="R13" i="2"/>
  <c r="S13" i="2"/>
  <c r="I33" i="1"/>
  <c r="H33" i="1"/>
  <c r="W10" i="4"/>
  <c r="S19" i="4"/>
  <c r="O19" i="4"/>
  <c r="S26" i="4"/>
  <c r="O26" i="4"/>
  <c r="S30" i="4"/>
  <c r="O30" i="4"/>
  <c r="S34" i="4"/>
  <c r="W30" i="4"/>
  <c r="O34" i="4"/>
  <c r="S41" i="4"/>
  <c r="O41" i="4"/>
  <c r="S10" i="4"/>
  <c r="O10" i="4"/>
  <c r="O43" i="4" l="1"/>
  <c r="S43" i="4"/>
  <c r="W43" i="4"/>
  <c r="I49" i="2"/>
  <c r="F25" i="2"/>
  <c r="H50" i="1"/>
  <c r="H52" i="1" s="1"/>
  <c r="G25" i="2"/>
  <c r="I50" i="1"/>
  <c r="I52" i="1" s="1"/>
  <c r="H25" i="2"/>
  <c r="J13" i="2" l="1"/>
  <c r="J12" i="2"/>
  <c r="J11" i="2"/>
  <c r="U17" i="2"/>
  <c r="U34" i="2"/>
  <c r="U29" i="2"/>
  <c r="U30" i="2"/>
  <c r="U25" i="2"/>
  <c r="U26" i="2" s="1"/>
  <c r="U21" i="2"/>
  <c r="U22" i="2" s="1"/>
  <c r="U8" i="2"/>
  <c r="U10" i="2"/>
  <c r="U4" i="2"/>
  <c r="U5" i="2" s="1"/>
  <c r="J39" i="2"/>
  <c r="J40" i="2"/>
  <c r="J33" i="2"/>
  <c r="J34" i="2"/>
  <c r="J35" i="2"/>
  <c r="J36" i="2"/>
  <c r="J30" i="2"/>
  <c r="J29" i="2"/>
  <c r="J28" i="2"/>
  <c r="J9" i="2"/>
  <c r="J10" i="2"/>
  <c r="J14" i="2"/>
  <c r="J15" i="2"/>
  <c r="J16" i="2"/>
  <c r="J5" i="2"/>
  <c r="J4" i="2"/>
  <c r="U50" i="1"/>
  <c r="K48" i="1"/>
  <c r="K31" i="1"/>
  <c r="K18" i="1"/>
  <c r="K13" i="1"/>
  <c r="U15" i="2"/>
  <c r="J21" i="2"/>
  <c r="U14" i="2"/>
  <c r="J20" i="2"/>
  <c r="U13" i="2"/>
  <c r="R14" i="2"/>
  <c r="S14" i="2"/>
  <c r="Q14" i="2"/>
  <c r="S15" i="2"/>
  <c r="G19" i="2"/>
  <c r="G4" i="2"/>
  <c r="G20" i="2"/>
  <c r="G21" i="2"/>
  <c r="G5" i="2"/>
  <c r="G9" i="2"/>
  <c r="G10" i="2"/>
  <c r="G11" i="2"/>
  <c r="G12" i="2"/>
  <c r="G13" i="2"/>
  <c r="G14" i="2"/>
  <c r="G15" i="2"/>
  <c r="G16" i="2"/>
  <c r="G39" i="2"/>
  <c r="H4" i="2"/>
  <c r="H5" i="2"/>
  <c r="H15" i="2"/>
  <c r="H19" i="2"/>
  <c r="H20" i="2"/>
  <c r="H21" i="2"/>
  <c r="H9" i="2"/>
  <c r="H11" i="2"/>
  <c r="H12" i="2"/>
  <c r="H13" i="2"/>
  <c r="H14" i="2"/>
  <c r="H16" i="2"/>
  <c r="F4" i="2"/>
  <c r="F5" i="2"/>
  <c r="F9" i="2"/>
  <c r="F10" i="2"/>
  <c r="F11" i="2"/>
  <c r="F12" i="2"/>
  <c r="F13" i="2"/>
  <c r="F14" i="2"/>
  <c r="F15" i="2"/>
  <c r="F16" i="2"/>
  <c r="F19" i="2"/>
  <c r="F20" i="2"/>
  <c r="F21" i="2"/>
  <c r="F39" i="2"/>
  <c r="S18" i="2" l="1"/>
  <c r="S47" i="2" s="1"/>
  <c r="U16" i="2"/>
  <c r="U18" i="2" s="1"/>
  <c r="J22" i="2"/>
  <c r="U11" i="2"/>
  <c r="K33" i="1"/>
  <c r="J25" i="2" s="1"/>
  <c r="U31" i="2"/>
  <c r="J6" i="2"/>
  <c r="H41" i="2"/>
  <c r="J31" i="2"/>
  <c r="J41" i="2"/>
  <c r="J37" i="2"/>
  <c r="J19" i="2"/>
  <c r="J17" i="2"/>
  <c r="H6" i="2"/>
  <c r="R15" i="2"/>
  <c r="R18" i="2" s="1"/>
  <c r="Q15" i="2"/>
  <c r="Q18" i="2" s="1"/>
  <c r="H17" i="2"/>
  <c r="F6" i="2"/>
  <c r="G41" i="2"/>
  <c r="G6" i="2"/>
  <c r="F37" i="2"/>
  <c r="G37" i="2"/>
  <c r="G31" i="2"/>
  <c r="F31" i="2"/>
  <c r="H31" i="2"/>
  <c r="F41" i="2"/>
  <c r="F17" i="2"/>
  <c r="H37" i="2"/>
  <c r="H23" i="2"/>
  <c r="G17" i="2"/>
  <c r="F23" i="2"/>
  <c r="G23" i="2"/>
  <c r="Q47" i="2" l="1"/>
  <c r="G47" i="2"/>
  <c r="H47" i="2"/>
  <c r="F47" i="2"/>
  <c r="U47" i="2"/>
  <c r="J23" i="2"/>
  <c r="J47" i="2" s="1"/>
  <c r="K50" i="1"/>
  <c r="K52" i="1" s="1"/>
  <c r="R47" i="2"/>
  <c r="F49" i="2" l="1"/>
  <c r="J49" i="2"/>
  <c r="G49" i="2"/>
  <c r="H49" i="2"/>
</calcChain>
</file>

<file path=xl/sharedStrings.xml><?xml version="1.0" encoding="utf-8"?>
<sst xmlns="http://schemas.openxmlformats.org/spreadsheetml/2006/main" count="354" uniqueCount="201">
  <si>
    <t>Charges</t>
  </si>
  <si>
    <t>Produits</t>
  </si>
  <si>
    <t xml:space="preserve">Présidence                                                            </t>
  </si>
  <si>
    <t>Licences</t>
  </si>
  <si>
    <t xml:space="preserve">Conseil d'Administration                                              </t>
  </si>
  <si>
    <t>Affiliatons clubs</t>
  </si>
  <si>
    <t xml:space="preserve">Assemblée Générale                                                    </t>
  </si>
  <si>
    <t xml:space="preserve">Comité Ethique                                                        </t>
  </si>
  <si>
    <t>Affil. clubs scolaires</t>
  </si>
  <si>
    <t xml:space="preserve">Structures (BD, CA, AG)                                               </t>
  </si>
  <si>
    <t>Subventions</t>
  </si>
  <si>
    <t>Produits financiers</t>
  </si>
  <si>
    <t xml:space="preserve">Classique                                                             </t>
  </si>
  <si>
    <t xml:space="preserve">Directions Nationales                                                 </t>
  </si>
  <si>
    <t xml:space="preserve">Finances                                                              </t>
  </si>
  <si>
    <t xml:space="preserve">Commissions                                                           </t>
  </si>
  <si>
    <t>Resultat Vie Associative</t>
  </si>
  <si>
    <t>Réel</t>
  </si>
  <si>
    <t>Comptes de produits</t>
  </si>
  <si>
    <t xml:space="preserve">Fournitures admin. et info.                                           </t>
  </si>
  <si>
    <t xml:space="preserve">Licences                                                              </t>
  </si>
  <si>
    <t>Achats</t>
  </si>
  <si>
    <t xml:space="preserve">Affiliations                                                          </t>
  </si>
  <si>
    <t xml:space="preserve">Festivals fédéraux                                                    </t>
  </si>
  <si>
    <t xml:space="preserve">Primes d'assurance et cotisations                                     </t>
  </si>
  <si>
    <t xml:space="preserve">Championnats nationaux                                                </t>
  </si>
  <si>
    <t xml:space="preserve">Epreuves internationales                                              </t>
  </si>
  <si>
    <t xml:space="preserve">Transports, missions, réceptions                                      </t>
  </si>
  <si>
    <t xml:space="preserve">Services bancaires et assimilés                                       </t>
  </si>
  <si>
    <t>Frais d'exploitation</t>
  </si>
  <si>
    <t xml:space="preserve">Activités annexes                                                     </t>
  </si>
  <si>
    <t xml:space="preserve">Subventions                                                           </t>
  </si>
  <si>
    <t xml:space="preserve">Autres épreuves                                                       </t>
  </si>
  <si>
    <t xml:space="preserve">Autres produits                                                       </t>
  </si>
  <si>
    <t xml:space="preserve">Taxe sur les salaires                                                 </t>
  </si>
  <si>
    <t xml:space="preserve">Formation continue                                                    </t>
  </si>
  <si>
    <t xml:space="preserve">Autres taxes et impôts                                                </t>
  </si>
  <si>
    <t xml:space="preserve">Rémunération du personnel                                             </t>
  </si>
  <si>
    <t xml:space="preserve">Cotisations sociales                                                  </t>
  </si>
  <si>
    <t xml:space="preserve">Autres charges soc. et de person.                                     </t>
  </si>
  <si>
    <t xml:space="preserve">Chèques déjeuner                                                      </t>
  </si>
  <si>
    <t>Personnel</t>
  </si>
  <si>
    <t>Autres charges</t>
  </si>
  <si>
    <t xml:space="preserve">Dotations aux amortissements                                          </t>
  </si>
  <si>
    <t xml:space="preserve">Dot. aux amortissements                                          </t>
  </si>
  <si>
    <t>TOTAL CHARGES</t>
  </si>
  <si>
    <t>TOTAL PRODUITS</t>
  </si>
  <si>
    <t xml:space="preserve">Fournitures entr. et petit équip.                                </t>
  </si>
  <si>
    <t>Comptes de charges nettes</t>
  </si>
  <si>
    <t xml:space="preserve">Total </t>
  </si>
  <si>
    <t>Total charges</t>
  </si>
  <si>
    <t>Total produits</t>
  </si>
  <si>
    <t>Charges de structure</t>
  </si>
  <si>
    <t>Resultat global</t>
  </si>
  <si>
    <t>Intendance</t>
  </si>
  <si>
    <t>Elections</t>
  </si>
  <si>
    <t>Affilations clubs</t>
  </si>
  <si>
    <t>Simultanés et autres épreuves</t>
  </si>
  <si>
    <t>Redevances</t>
  </si>
  <si>
    <t>Locations diverses</t>
  </si>
  <si>
    <t>Prod. divers de gestion courante</t>
  </si>
  <si>
    <t>Informatique</t>
  </si>
  <si>
    <t xml:space="preserve">Bureau Directeur                                         </t>
  </si>
  <si>
    <t>Balance</t>
  </si>
  <si>
    <t xml:space="preserve">Aix-les-Bains                                                         </t>
  </si>
  <si>
    <t xml:space="preserve">Vichy                                                                 </t>
  </si>
  <si>
    <t xml:space="preserve">Champ. de France Scolaire                                             </t>
  </si>
  <si>
    <t xml:space="preserve">Champ. de France Vermeil Qualif                                          </t>
  </si>
  <si>
    <t xml:space="preserve">Interclubs  qualif + finale                                                       </t>
  </si>
  <si>
    <t xml:space="preserve">Simultané Mondial                                                     </t>
  </si>
  <si>
    <t xml:space="preserve">Simultané Mondial de Blitz                                            </t>
  </si>
  <si>
    <t xml:space="preserve">Simultané Mondial 1/2 rapide                                          </t>
  </si>
  <si>
    <t xml:space="preserve">Interclubs européens                                                  </t>
  </si>
  <si>
    <t xml:space="preserve">Épreuves internationales                                              </t>
  </si>
  <si>
    <t xml:space="preserve">Simultanés                                                            </t>
  </si>
  <si>
    <t xml:space="preserve">Redevances TH                                                         </t>
  </si>
  <si>
    <t>Activité Scrabble</t>
  </si>
  <si>
    <t xml:space="preserve">Activité scrabble                                                    </t>
  </si>
  <si>
    <t xml:space="preserve">Activité Scrabble                                                    </t>
  </si>
  <si>
    <t>Classement et tournois</t>
  </si>
  <si>
    <t>Juridique</t>
  </si>
  <si>
    <t>Groupe Travail Permanents</t>
  </si>
  <si>
    <t xml:space="preserve">Simultanés France + permanents                                                 </t>
  </si>
  <si>
    <t>Fournitures admin. et info.</t>
  </si>
  <si>
    <t>Fournitures entr. et petit équip.</t>
  </si>
  <si>
    <t>Locations (bureau, mat., entrepôt)</t>
  </si>
  <si>
    <t>Entretien et réparations</t>
  </si>
  <si>
    <t>Primes d'assurance et cotisations</t>
  </si>
  <si>
    <t>Prestations ext. et honoraires</t>
  </si>
  <si>
    <t>Transports, missions, réceptions</t>
  </si>
  <si>
    <t>Téléphone, internet, frais postaux</t>
  </si>
  <si>
    <t>Services bancaires et assimilés</t>
  </si>
  <si>
    <t xml:space="preserve">Affiliations clubs scolaires                                                     </t>
  </si>
  <si>
    <t xml:space="preserve"> </t>
  </si>
  <si>
    <t>Dotation Comités</t>
  </si>
  <si>
    <t xml:space="preserve">Entretien et réparations (mat. et inform.)                                             </t>
  </si>
  <si>
    <t>Total</t>
  </si>
  <si>
    <t>Vie  Associative</t>
  </si>
  <si>
    <t xml:space="preserve">Jeunes et Scolaires                                                 </t>
  </si>
  <si>
    <t>Actions</t>
  </si>
  <si>
    <t>Com Juridique</t>
  </si>
  <si>
    <t xml:space="preserve">Téléphone, internet, frais postaux                                   </t>
  </si>
  <si>
    <t>Publications et RP</t>
  </si>
  <si>
    <t>DNS Classique</t>
  </si>
  <si>
    <t>Frais de fonctionnement</t>
  </si>
  <si>
    <t xml:space="preserve">Autres charges soc. et de person.                               </t>
  </si>
  <si>
    <t xml:space="preserve">Licences                                                             </t>
  </si>
  <si>
    <t xml:space="preserve">Champ.de France  Ind. Finale                                                     </t>
  </si>
  <si>
    <t xml:space="preserve">Grand Prix  (finale)                                                    </t>
  </si>
  <si>
    <t>Développement</t>
  </si>
  <si>
    <t>Comptes de charges (en k€)</t>
  </si>
  <si>
    <t>Comptes de produits (en k€)</t>
  </si>
  <si>
    <t>(0rganisation)</t>
  </si>
  <si>
    <t xml:space="preserve">Arbitrage  Règlement Logistique                                 </t>
  </si>
  <si>
    <t>(Communication)</t>
  </si>
  <si>
    <t>(Tourisme)</t>
  </si>
  <si>
    <t xml:space="preserve">Redevances TH Duplicate                                                    </t>
  </si>
  <si>
    <t xml:space="preserve">Redevances TH Classique                                                   </t>
  </si>
  <si>
    <t>2017-18</t>
  </si>
  <si>
    <t xml:space="preserve">DNDS (Com Promotion)      </t>
  </si>
  <si>
    <t>Réel 2017-2018</t>
  </si>
  <si>
    <t xml:space="preserve">Classique : CdF + IC + Open Fr. + Cpe Fr.                                        </t>
  </si>
  <si>
    <t xml:space="preserve">Finale Concours Scol                                  </t>
  </si>
  <si>
    <t>Scrabblerama Jeunes</t>
  </si>
  <si>
    <t>Location (matériel, entrepôt)</t>
  </si>
  <si>
    <t>Assurance</t>
  </si>
  <si>
    <t>Abomarque</t>
  </si>
  <si>
    <t>Honoraires Scrabblerama</t>
  </si>
  <si>
    <t>Imprimeur Scrabblerama</t>
  </si>
  <si>
    <t>Services bancaires</t>
  </si>
  <si>
    <t>Droits d'auteur</t>
  </si>
  <si>
    <t>Ventes Scrabblerama</t>
  </si>
  <si>
    <t>Édition</t>
  </si>
  <si>
    <t>Frais postaux</t>
  </si>
  <si>
    <t>Scrabblerama</t>
  </si>
  <si>
    <t>Rédaction Scrabblerama</t>
  </si>
  <si>
    <t>2018-19</t>
  </si>
  <si>
    <t>Réel 2018-2019</t>
  </si>
  <si>
    <t>-1,7</t>
  </si>
  <si>
    <t xml:space="preserve">Entretien et réparations inform.                                          </t>
  </si>
  <si>
    <t>Autres ventes</t>
  </si>
  <si>
    <t>Reprise dépréciation stocks</t>
  </si>
  <si>
    <t>Stocks</t>
  </si>
  <si>
    <t>Variation stocks</t>
  </si>
  <si>
    <t>2019-20</t>
  </si>
  <si>
    <t>Réel 2019-2020</t>
  </si>
  <si>
    <t>Dons solidaires</t>
  </si>
  <si>
    <t xml:space="preserve">Chall N7                                                        </t>
  </si>
  <si>
    <t>E-tournois (Maximus, GTS)</t>
  </si>
  <si>
    <t>Pubs Scrabblerama</t>
  </si>
  <si>
    <t xml:space="preserve">Taxes foncières et autres impôts locaux                                           </t>
  </si>
  <si>
    <t>Secteur commercial</t>
  </si>
  <si>
    <t>2020-21</t>
  </si>
  <si>
    <t>Réel 2020-2021</t>
  </si>
  <si>
    <t>Impôts et taxes</t>
  </si>
  <si>
    <t>Aides (transfert de chg d'expl)</t>
  </si>
  <si>
    <t xml:space="preserve">Charges div. et except.               </t>
  </si>
  <si>
    <t>Résultat Secteur commercial</t>
  </si>
  <si>
    <t xml:space="preserve">Prod. div. de gestion courante                                      </t>
  </si>
  <si>
    <t>2021-22</t>
  </si>
  <si>
    <t>Réel. 2021-2022</t>
  </si>
  <si>
    <t>Assoconnect</t>
  </si>
  <si>
    <t xml:space="preserve">Jeux francoph (2022 : Redev Dragon)                                                     </t>
  </si>
  <si>
    <t>Produits exceptionnels</t>
  </si>
  <si>
    <t>2022-2023</t>
  </si>
  <si>
    <t>2022-23</t>
  </si>
  <si>
    <t>6261/6263/6265</t>
  </si>
  <si>
    <t>6351 à 6354</t>
  </si>
  <si>
    <t xml:space="preserve"> 2022-23</t>
  </si>
  <si>
    <t>Réel. 2022-2023</t>
  </si>
  <si>
    <t>Com règlement arbitrage</t>
  </si>
  <si>
    <t>Promotion partenariat</t>
  </si>
  <si>
    <t>(Classement)</t>
  </si>
  <si>
    <t>Location entrepôt</t>
  </si>
  <si>
    <t>Aides URSSAF/apprentis/formation (transfert de chg d'expl)</t>
  </si>
  <si>
    <t xml:space="preserve">Cannes/Vichy Février                                                                </t>
  </si>
  <si>
    <t xml:space="preserve">Championnats du Monde                                        </t>
  </si>
  <si>
    <t>MSN / Fest Septembre / avant La Rochelle</t>
  </si>
  <si>
    <t xml:space="preserve">Kits scolaires </t>
  </si>
  <si>
    <t>Cotisations FISF+CAPA</t>
  </si>
  <si>
    <t>Droits d'enregistrement Esquirol</t>
  </si>
  <si>
    <t xml:space="preserve">Charges div. et exceptionnelles (déménagt, cadeaux, pertes)                                      </t>
  </si>
  <si>
    <t>Charges locatives et de coprop.+ménage</t>
  </si>
  <si>
    <t xml:space="preserve">Charges locatives et de coprop. + ménage + travaux elec                                     </t>
  </si>
  <si>
    <r>
      <rPr>
        <b/>
        <sz val="11"/>
        <color rgb="FF000000"/>
        <rFont val="Calibri"/>
        <family val="2"/>
      </rPr>
      <t xml:space="preserve">Actions    </t>
    </r>
    <r>
      <rPr>
        <b/>
        <sz val="11"/>
        <color indexed="8"/>
        <rFont val="Calibri"/>
        <family val="2"/>
      </rPr>
      <t xml:space="preserve">                                                        </t>
    </r>
    <r>
      <rPr>
        <sz val="11"/>
        <color rgb="FF000000"/>
        <rFont val="Calibri"/>
        <family val="2"/>
      </rPr>
      <t xml:space="preserve"> </t>
    </r>
  </si>
  <si>
    <t>Simultané National en PO</t>
  </si>
  <si>
    <t>2024-25</t>
  </si>
  <si>
    <t>2023-24</t>
  </si>
  <si>
    <t xml:space="preserve">Prestations ext. et honoraires                             </t>
  </si>
  <si>
    <t>Réel. 2023-2024</t>
  </si>
  <si>
    <t>Réel. 2024-2025</t>
  </si>
  <si>
    <t xml:space="preserve">Formation continue +  Formation                                        </t>
  </si>
  <si>
    <t>Redevances phases 1-2-3 + q4 + q567</t>
  </si>
  <si>
    <t xml:space="preserve">Frais de fonctionnement  associatif       </t>
  </si>
  <si>
    <t xml:space="preserve">Locations (bureau, mat., )                                    </t>
  </si>
  <si>
    <t xml:space="preserve">DNS Jeunes et Scolaires </t>
  </si>
  <si>
    <t>Produits divers de 
gestion courante</t>
  </si>
  <si>
    <t xml:space="preserve">Produits financiers et divers                                                 </t>
  </si>
  <si>
    <t xml:space="preserve">Simultané National Handicap   </t>
  </si>
  <si>
    <t>Bilan
2024-2025</t>
  </si>
  <si>
    <t>Établi le12/10/2025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</si>
</sst>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0.0_ ;\-0.0\ 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17"/>
      <name val="Century Gothic"/>
      <family val="2"/>
    </font>
    <font>
      <b/>
      <sz val="14"/>
      <color indexed="57"/>
      <name val="Calibri"/>
      <family val="2"/>
    </font>
    <font>
      <b/>
      <sz val="11"/>
      <color indexed="17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3"/>
      <name val="Calibri"/>
      <family val="2"/>
    </font>
    <font>
      <b/>
      <sz val="11"/>
      <color indexed="23"/>
      <name val="Calibri"/>
      <family val="2"/>
    </font>
    <font>
      <b/>
      <u/>
      <sz val="11"/>
      <name val="Calibri"/>
      <family val="2"/>
    </font>
    <font>
      <b/>
      <sz val="16"/>
      <color indexed="17"/>
      <name val="Calibri"/>
      <family val="2"/>
    </font>
    <font>
      <sz val="11"/>
      <name val="Calibri"/>
      <family val="2"/>
    </font>
    <font>
      <b/>
      <sz val="11"/>
      <color indexed="20"/>
      <name val="Calibri"/>
      <family val="2"/>
    </font>
    <font>
      <b/>
      <u/>
      <sz val="11"/>
      <color indexed="20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6"/>
      <color rgb="FF0000FF"/>
      <name val="Century Gothic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2"/>
      <color rgb="FF0000FF"/>
      <name val="Calibri"/>
      <family val="2"/>
    </font>
    <font>
      <sz val="11"/>
      <color theme="9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rgb="FF7030A0"/>
      <name val="Calibri"/>
      <family val="2"/>
    </font>
    <font>
      <sz val="11"/>
      <color rgb="FF7030A0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0000FF"/>
      <name val="Century Gothic"/>
      <family val="2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</font>
    <font>
      <b/>
      <sz val="12"/>
      <color rgb="FF0000FF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indexed="8"/>
      <name val="Calibri"/>
      <family val="2"/>
    </font>
    <font>
      <b/>
      <sz val="16"/>
      <color theme="9" tint="-0.499984740745262"/>
      <name val="Century Gothic"/>
      <family val="2"/>
    </font>
    <font>
      <sz val="12"/>
      <color theme="9" tint="-0.499984740745262"/>
      <name val="Calibri"/>
      <family val="2"/>
    </font>
    <font>
      <sz val="11"/>
      <color rgb="FF993300"/>
      <name val="Calibri"/>
      <family val="2"/>
    </font>
    <font>
      <sz val="11"/>
      <color rgb="FF974807"/>
      <name val="Calibri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FF6600"/>
      <name val="Calibri"/>
      <family val="2"/>
      <scheme val="minor"/>
    </font>
    <font>
      <b/>
      <sz val="11"/>
      <color rgb="FFFF3399"/>
      <name val="Calibri"/>
      <family val="2"/>
    </font>
    <font>
      <sz val="11"/>
      <color rgb="FFFF3399"/>
      <name val="Calibri"/>
      <family val="2"/>
    </font>
    <font>
      <sz val="11"/>
      <color rgb="FFFF3399"/>
      <name val="Calibri"/>
      <family val="2"/>
      <scheme val="minor"/>
    </font>
    <font>
      <b/>
      <sz val="16"/>
      <color rgb="FFFF3399"/>
      <name val="Century Gothic"/>
      <family val="2"/>
    </font>
    <font>
      <b/>
      <sz val="16"/>
      <color rgb="FFFF3399"/>
      <name val="Calibri"/>
      <family val="2"/>
    </font>
    <font>
      <b/>
      <sz val="12"/>
      <color indexed="20"/>
      <name val="Calibri"/>
      <family val="2"/>
    </font>
    <font>
      <b/>
      <sz val="12"/>
      <color rgb="FFFF3399"/>
      <name val="Calibri"/>
      <family val="2"/>
    </font>
    <font>
      <b/>
      <sz val="12"/>
      <color rgb="FFFF6600"/>
      <name val="Calibri"/>
      <family val="2"/>
    </font>
    <font>
      <b/>
      <sz val="16"/>
      <color rgb="FF7030A0"/>
      <name val="Century Gothic"/>
      <family val="2"/>
    </font>
    <font>
      <b/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entury Gothic"/>
      <family val="2"/>
    </font>
    <font>
      <sz val="12"/>
      <color rgb="FFFF0000"/>
      <name val="Calibri"/>
      <family val="2"/>
    </font>
    <font>
      <b/>
      <sz val="11"/>
      <color rgb="FFFF0000"/>
      <name val="Century Gothic"/>
      <family val="2"/>
    </font>
    <font>
      <b/>
      <sz val="10"/>
      <color rgb="FF0000FF"/>
      <name val="Century Gothic"/>
      <family val="2"/>
    </font>
    <font>
      <b/>
      <sz val="11"/>
      <color theme="6" tint="-0.249977111117893"/>
      <name val="Calibri"/>
      <family val="2"/>
    </font>
    <font>
      <sz val="11"/>
      <color theme="6" tint="-0.249977111117893"/>
      <name val="Calibri"/>
      <family val="2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</font>
    <font>
      <b/>
      <sz val="11"/>
      <color theme="6" tint="-0.249977111117893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2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9" fillId="0" borderId="0" applyFont="0" applyFill="0" applyBorder="0" applyAlignment="0" applyProtection="0"/>
    <xf numFmtId="0" fontId="2" fillId="0" borderId="0"/>
  </cellStyleXfs>
  <cellXfs count="886">
    <xf numFmtId="0" fontId="0" fillId="0" borderId="0" xfId="0"/>
    <xf numFmtId="0" fontId="2" fillId="0" borderId="0" xfId="2"/>
    <xf numFmtId="0" fontId="10" fillId="0" borderId="0" xfId="0" applyFont="1"/>
    <xf numFmtId="0" fontId="10" fillId="0" borderId="0" xfId="2" applyFont="1" applyAlignment="1">
      <alignment vertical="center"/>
    </xf>
    <xf numFmtId="164" fontId="15" fillId="3" borderId="0" xfId="2" applyNumberFormat="1" applyFont="1" applyFill="1" applyAlignment="1">
      <alignment vertical="center"/>
    </xf>
    <xf numFmtId="164" fontId="16" fillId="3" borderId="0" xfId="2" applyNumberFormat="1" applyFont="1" applyFill="1" applyAlignment="1">
      <alignment vertical="center"/>
    </xf>
    <xf numFmtId="164" fontId="17" fillId="3" borderId="0" xfId="0" applyNumberFormat="1" applyFont="1" applyFill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4" fillId="0" borderId="0" xfId="0" applyFont="1"/>
    <xf numFmtId="0" fontId="10" fillId="2" borderId="1" xfId="2" applyFont="1" applyFill="1" applyBorder="1"/>
    <xf numFmtId="164" fontId="20" fillId="2" borderId="1" xfId="0" applyNumberFormat="1" applyFont="1" applyFill="1" applyBorder="1"/>
    <xf numFmtId="0" fontId="10" fillId="3" borderId="4" xfId="0" applyFont="1" applyFill="1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0" fillId="3" borderId="0" xfId="0" applyFill="1"/>
    <xf numFmtId="0" fontId="18" fillId="0" borderId="6" xfId="0" applyFont="1" applyBorder="1"/>
    <xf numFmtId="164" fontId="20" fillId="0" borderId="0" xfId="0" applyNumberFormat="1" applyFont="1"/>
    <xf numFmtId="0" fontId="19" fillId="0" borderId="0" xfId="2" applyFont="1"/>
    <xf numFmtId="164" fontId="21" fillId="0" borderId="0" xfId="0" applyNumberFormat="1" applyFont="1" applyAlignment="1">
      <alignment horizontal="right"/>
    </xf>
    <xf numFmtId="164" fontId="8" fillId="0" borderId="0" xfId="2" applyNumberFormat="1" applyFont="1" applyAlignment="1">
      <alignment vertical="center"/>
    </xf>
    <xf numFmtId="164" fontId="20" fillId="0" borderId="1" xfId="0" applyNumberFormat="1" applyFont="1" applyBorder="1" applyAlignment="1">
      <alignment horizontal="right"/>
    </xf>
    <xf numFmtId="164" fontId="12" fillId="0" borderId="0" xfId="0" applyNumberFormat="1" applyFont="1"/>
    <xf numFmtId="164" fontId="12" fillId="0" borderId="1" xfId="0" applyNumberFormat="1" applyFont="1" applyBorder="1"/>
    <xf numFmtId="164" fontId="23" fillId="0" borderId="0" xfId="0" applyNumberFormat="1" applyFont="1"/>
    <xf numFmtId="164" fontId="26" fillId="0" borderId="0" xfId="0" applyNumberFormat="1" applyFont="1"/>
    <xf numFmtId="164" fontId="25" fillId="2" borderId="1" xfId="0" applyNumberFormat="1" applyFont="1" applyFill="1" applyBorder="1"/>
    <xf numFmtId="165" fontId="10" fillId="0" borderId="0" xfId="0" applyNumberFormat="1" applyFont="1" applyAlignment="1">
      <alignment horizontal="left"/>
    </xf>
    <xf numFmtId="0" fontId="0" fillId="3" borderId="0" xfId="0" applyFill="1" applyAlignment="1">
      <alignment vertical="center"/>
    </xf>
    <xf numFmtId="165" fontId="0" fillId="3" borderId="0" xfId="0" applyNumberForma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28" fillId="0" borderId="0" xfId="0" applyFont="1"/>
    <xf numFmtId="0" fontId="27" fillId="0" borderId="0" xfId="0" applyFont="1"/>
    <xf numFmtId="0" fontId="25" fillId="0" borderId="0" xfId="0" applyFont="1"/>
    <xf numFmtId="0" fontId="23" fillId="0" borderId="0" xfId="0" applyFont="1"/>
    <xf numFmtId="0" fontId="12" fillId="0" borderId="0" xfId="0" applyFont="1"/>
    <xf numFmtId="0" fontId="26" fillId="0" borderId="0" xfId="0" applyFont="1"/>
    <xf numFmtId="164" fontId="25" fillId="0" borderId="0" xfId="0" applyNumberFormat="1" applyFont="1"/>
    <xf numFmtId="0" fontId="25" fillId="3" borderId="2" xfId="0" applyFont="1" applyFill="1" applyBorder="1" applyAlignment="1">
      <alignment horizontal="center"/>
    </xf>
    <xf numFmtId="0" fontId="23" fillId="3" borderId="4" xfId="0" applyFont="1" applyFill="1" applyBorder="1"/>
    <xf numFmtId="165" fontId="10" fillId="3" borderId="4" xfId="0" applyNumberFormat="1" applyFont="1" applyFill="1" applyBorder="1"/>
    <xf numFmtId="165" fontId="13" fillId="0" borderId="14" xfId="0" applyNumberFormat="1" applyFont="1" applyBorder="1"/>
    <xf numFmtId="165" fontId="26" fillId="0" borderId="0" xfId="0" applyNumberFormat="1" applyFont="1"/>
    <xf numFmtId="0" fontId="2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3" fillId="0" borderId="0" xfId="2" applyFont="1"/>
    <xf numFmtId="0" fontId="7" fillId="0" borderId="0" xfId="2" applyFont="1"/>
    <xf numFmtId="0" fontId="23" fillId="0" borderId="0" xfId="2" applyFont="1" applyAlignment="1">
      <alignment vertical="center"/>
    </xf>
    <xf numFmtId="0" fontId="19" fillId="0" borderId="0" xfId="2" applyFont="1" applyAlignment="1">
      <alignment horizontal="center"/>
    </xf>
    <xf numFmtId="164" fontId="9" fillId="3" borderId="0" xfId="2" applyNumberFormat="1" applyFont="1" applyFill="1" applyAlignment="1">
      <alignment vertical="center"/>
    </xf>
    <xf numFmtId="0" fontId="7" fillId="0" borderId="0" xfId="2" applyFont="1" applyAlignment="1">
      <alignment horizontal="center"/>
    </xf>
    <xf numFmtId="164" fontId="5" fillId="3" borderId="0" xfId="2" applyNumberFormat="1" applyFont="1" applyFill="1" applyAlignment="1">
      <alignment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2" fillId="2" borderId="1" xfId="2" applyFont="1" applyFill="1" applyBorder="1"/>
    <xf numFmtId="164" fontId="11" fillId="3" borderId="0" xfId="2" applyNumberFormat="1" applyFont="1" applyFill="1" applyAlignment="1">
      <alignment vertical="center"/>
    </xf>
    <xf numFmtId="0" fontId="13" fillId="4" borderId="1" xfId="0" applyFont="1" applyFill="1" applyBorder="1"/>
    <xf numFmtId="164" fontId="4" fillId="0" borderId="6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19" fillId="0" borderId="0" xfId="2" applyNumberFormat="1" applyFont="1"/>
    <xf numFmtId="164" fontId="5" fillId="3" borderId="0" xfId="2" applyNumberFormat="1" applyFont="1" applyFill="1" applyAlignment="1">
      <alignment horizontal="right" vertical="center"/>
    </xf>
    <xf numFmtId="164" fontId="10" fillId="0" borderId="0" xfId="0" applyNumberFormat="1" applyFont="1"/>
    <xf numFmtId="164" fontId="23" fillId="0" borderId="0" xfId="0" quotePrefix="1" applyNumberFormat="1" applyFont="1"/>
    <xf numFmtId="164" fontId="23" fillId="3" borderId="0" xfId="0" applyNumberFormat="1" applyFont="1" applyFill="1"/>
    <xf numFmtId="164" fontId="12" fillId="3" borderId="0" xfId="0" applyNumberFormat="1" applyFont="1" applyFill="1"/>
    <xf numFmtId="164" fontId="20" fillId="0" borderId="2" xfId="0" applyNumberFormat="1" applyFont="1" applyBorder="1" applyAlignment="1">
      <alignment horizontal="center"/>
    </xf>
    <xf numFmtId="164" fontId="25" fillId="3" borderId="0" xfId="0" applyNumberFormat="1" applyFont="1" applyFill="1"/>
    <xf numFmtId="164" fontId="20" fillId="0" borderId="7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6" fillId="3" borderId="0" xfId="0" applyNumberFormat="1" applyFont="1" applyFill="1"/>
    <xf numFmtId="164" fontId="0" fillId="3" borderId="0" xfId="0" applyNumberFormat="1" applyFill="1"/>
    <xf numFmtId="164" fontId="5" fillId="0" borderId="1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0" fillId="3" borderId="4" xfId="0" applyFill="1" applyBorder="1"/>
    <xf numFmtId="0" fontId="0" fillId="3" borderId="16" xfId="0" applyFill="1" applyBorder="1"/>
    <xf numFmtId="0" fontId="10" fillId="3" borderId="16" xfId="0" applyFont="1" applyFill="1" applyBorder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0" fontId="0" fillId="3" borderId="5" xfId="0" applyFill="1" applyBorder="1"/>
    <xf numFmtId="0" fontId="28" fillId="3" borderId="17" xfId="0" applyFont="1" applyFill="1" applyBorder="1" applyAlignment="1">
      <alignment horizontal="left"/>
    </xf>
    <xf numFmtId="164" fontId="20" fillId="5" borderId="1" xfId="0" applyNumberFormat="1" applyFont="1" applyFill="1" applyBorder="1"/>
    <xf numFmtId="164" fontId="5" fillId="0" borderId="0" xfId="2" applyNumberFormat="1" applyFont="1" applyAlignment="1">
      <alignment horizontal="center" vertical="center"/>
    </xf>
    <xf numFmtId="164" fontId="24" fillId="0" borderId="0" xfId="2" applyNumberFormat="1" applyFont="1" applyAlignment="1">
      <alignment vertical="center"/>
    </xf>
    <xf numFmtId="164" fontId="5" fillId="0" borderId="0" xfId="2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left"/>
    </xf>
    <xf numFmtId="164" fontId="24" fillId="0" borderId="0" xfId="0" applyNumberFormat="1" applyFont="1"/>
    <xf numFmtId="164" fontId="8" fillId="0" borderId="1" xfId="0" applyNumberFormat="1" applyFont="1" applyBorder="1"/>
    <xf numFmtId="164" fontId="26" fillId="0" borderId="0" xfId="0" applyNumberFormat="1" applyFont="1" applyAlignment="1">
      <alignment vertical="top" wrapText="1"/>
    </xf>
    <xf numFmtId="164" fontId="7" fillId="2" borderId="8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7" fillId="0" borderId="1" xfId="0" applyNumberFormat="1" applyFont="1" applyBorder="1" applyAlignment="1">
      <alignment horizontal="right"/>
    </xf>
    <xf numFmtId="0" fontId="30" fillId="0" borderId="6" xfId="0" applyFont="1" applyBorder="1" applyAlignment="1">
      <alignment horizontal="left"/>
    </xf>
    <xf numFmtId="0" fontId="31" fillId="0" borderId="0" xfId="0" applyFont="1"/>
    <xf numFmtId="0" fontId="33" fillId="0" borderId="0" xfId="0" applyFont="1"/>
    <xf numFmtId="0" fontId="34" fillId="0" borderId="0" xfId="0" applyFont="1"/>
    <xf numFmtId="165" fontId="33" fillId="0" borderId="0" xfId="0" applyNumberFormat="1" applyFont="1" applyAlignment="1">
      <alignment horizontal="right"/>
    </xf>
    <xf numFmtId="165" fontId="32" fillId="0" borderId="0" xfId="0" applyNumberFormat="1" applyFont="1" applyAlignment="1">
      <alignment horizontal="right"/>
    </xf>
    <xf numFmtId="165" fontId="32" fillId="2" borderId="8" xfId="0" applyNumberFormat="1" applyFont="1" applyFill="1" applyBorder="1" applyAlignment="1">
      <alignment horizontal="right"/>
    </xf>
    <xf numFmtId="164" fontId="33" fillId="0" borderId="0" xfId="0" applyNumberFormat="1" applyFont="1"/>
    <xf numFmtId="164" fontId="33" fillId="0" borderId="1" xfId="0" applyNumberFormat="1" applyFont="1" applyBorder="1"/>
    <xf numFmtId="164" fontId="32" fillId="2" borderId="1" xfId="0" applyNumberFormat="1" applyFont="1" applyFill="1" applyBorder="1"/>
    <xf numFmtId="164" fontId="35" fillId="0" borderId="0" xfId="0" applyNumberFormat="1" applyFont="1"/>
    <xf numFmtId="164" fontId="36" fillId="0" borderId="0" xfId="0" applyNumberFormat="1" applyFont="1"/>
    <xf numFmtId="164" fontId="19" fillId="0" borderId="0" xfId="0" applyNumberFormat="1" applyFont="1"/>
    <xf numFmtId="164" fontId="7" fillId="0" borderId="1" xfId="0" applyNumberFormat="1" applyFont="1" applyBorder="1"/>
    <xf numFmtId="164" fontId="7" fillId="0" borderId="8" xfId="0" applyNumberFormat="1" applyFont="1" applyBorder="1" applyAlignment="1">
      <alignment horizontal="right"/>
    </xf>
    <xf numFmtId="164" fontId="7" fillId="0" borderId="0" xfId="0" applyNumberFormat="1" applyFont="1"/>
    <xf numFmtId="164" fontId="37" fillId="0" borderId="1" xfId="0" applyNumberFormat="1" applyFont="1" applyBorder="1"/>
    <xf numFmtId="164" fontId="38" fillId="0" borderId="0" xfId="0" applyNumberFormat="1" applyFont="1"/>
    <xf numFmtId="164" fontId="37" fillId="0" borderId="8" xfId="0" applyNumberFormat="1" applyFont="1" applyBorder="1" applyAlignment="1">
      <alignment horizontal="right"/>
    </xf>
    <xf numFmtId="164" fontId="37" fillId="2" borderId="8" xfId="0" applyNumberFormat="1" applyFont="1" applyFill="1" applyBorder="1" applyAlignment="1">
      <alignment horizontal="right"/>
    </xf>
    <xf numFmtId="164" fontId="37" fillId="0" borderId="0" xfId="0" applyNumberFormat="1" applyFont="1"/>
    <xf numFmtId="164" fontId="37" fillId="4" borderId="8" xfId="0" applyNumberFormat="1" applyFont="1" applyFill="1" applyBorder="1" applyAlignment="1">
      <alignment horizontal="right"/>
    </xf>
    <xf numFmtId="164" fontId="32" fillId="0" borderId="8" xfId="0" applyNumberFormat="1" applyFont="1" applyBorder="1" applyAlignment="1">
      <alignment horizontal="right"/>
    </xf>
    <xf numFmtId="164" fontId="32" fillId="2" borderId="8" xfId="0" applyNumberFormat="1" applyFont="1" applyFill="1" applyBorder="1" applyAlignment="1">
      <alignment horizontal="right"/>
    </xf>
    <xf numFmtId="0" fontId="32" fillId="0" borderId="0" xfId="0" applyFont="1"/>
    <xf numFmtId="164" fontId="33" fillId="0" borderId="0" xfId="0" applyNumberFormat="1" applyFont="1" applyAlignment="1">
      <alignment horizontal="right"/>
    </xf>
    <xf numFmtId="164" fontId="32" fillId="0" borderId="1" xfId="0" applyNumberFormat="1" applyFont="1" applyBorder="1" applyAlignment="1">
      <alignment horizontal="right"/>
    </xf>
    <xf numFmtId="164" fontId="32" fillId="4" borderId="1" xfId="0" applyNumberFormat="1" applyFont="1" applyFill="1" applyBorder="1" applyAlignment="1">
      <alignment horizontal="right"/>
    </xf>
    <xf numFmtId="164" fontId="38" fillId="0" borderId="0" xfId="0" applyNumberFormat="1" applyFont="1" applyAlignment="1">
      <alignment horizontal="right"/>
    </xf>
    <xf numFmtId="164" fontId="37" fillId="0" borderId="0" xfId="0" applyNumberFormat="1" applyFont="1" applyAlignment="1">
      <alignment horizontal="right"/>
    </xf>
    <xf numFmtId="164" fontId="39" fillId="0" borderId="0" xfId="0" applyNumberFormat="1" applyFont="1"/>
    <xf numFmtId="164" fontId="7" fillId="0" borderId="2" xfId="0" applyNumberFormat="1" applyFont="1" applyBorder="1" applyAlignment="1">
      <alignment horizontal="center"/>
    </xf>
    <xf numFmtId="0" fontId="19" fillId="0" borderId="0" xfId="0" applyFont="1"/>
    <xf numFmtId="0" fontId="7" fillId="0" borderId="0" xfId="0" applyFont="1"/>
    <xf numFmtId="164" fontId="32" fillId="0" borderId="0" xfId="0" applyNumberFormat="1" applyFont="1"/>
    <xf numFmtId="164" fontId="33" fillId="0" borderId="0" xfId="0" applyNumberFormat="1" applyFont="1" applyAlignment="1">
      <alignment vertical="top" wrapText="1"/>
    </xf>
    <xf numFmtId="164" fontId="35" fillId="0" borderId="0" xfId="0" applyNumberFormat="1" applyFont="1" applyAlignment="1">
      <alignment vertical="top" wrapText="1"/>
    </xf>
    <xf numFmtId="164" fontId="37" fillId="2" borderId="1" xfId="0" applyNumberFormat="1" applyFont="1" applyFill="1" applyBorder="1"/>
    <xf numFmtId="164" fontId="38" fillId="0" borderId="0" xfId="0" applyNumberFormat="1" applyFont="1" applyAlignment="1">
      <alignment vertical="top" wrapText="1"/>
    </xf>
    <xf numFmtId="164" fontId="19" fillId="0" borderId="0" xfId="0" applyNumberFormat="1" applyFont="1" applyAlignment="1">
      <alignment vertical="top" wrapText="1"/>
    </xf>
    <xf numFmtId="164" fontId="31" fillId="0" borderId="0" xfId="0" applyNumberFormat="1" applyFont="1"/>
    <xf numFmtId="164" fontId="32" fillId="6" borderId="1" xfId="0" applyNumberFormat="1" applyFont="1" applyFill="1" applyBorder="1"/>
    <xf numFmtId="0" fontId="10" fillId="2" borderId="0" xfId="0" applyFont="1" applyFill="1"/>
    <xf numFmtId="164" fontId="10" fillId="2" borderId="0" xfId="0" applyNumberFormat="1" applyFont="1" applyFill="1"/>
    <xf numFmtId="164" fontId="30" fillId="0" borderId="6" xfId="2" applyNumberFormat="1" applyFont="1" applyBorder="1" applyAlignment="1">
      <alignment horizontal="right" vertical="center"/>
    </xf>
    <xf numFmtId="164" fontId="32" fillId="0" borderId="0" xfId="2" applyNumberFormat="1" applyFont="1" applyAlignment="1">
      <alignment horizontal="right" vertical="center"/>
    </xf>
    <xf numFmtId="164" fontId="33" fillId="0" borderId="0" xfId="2" applyNumberFormat="1" applyFont="1" applyAlignment="1">
      <alignment horizontal="right" vertical="center"/>
    </xf>
    <xf numFmtId="164" fontId="32" fillId="5" borderId="8" xfId="2" applyNumberFormat="1" applyFont="1" applyFill="1" applyBorder="1" applyAlignment="1">
      <alignment horizontal="right" vertical="center"/>
    </xf>
    <xf numFmtId="164" fontId="32" fillId="0" borderId="0" xfId="0" applyNumberFormat="1" applyFont="1" applyAlignment="1">
      <alignment horizontal="right"/>
    </xf>
    <xf numFmtId="164" fontId="32" fillId="2" borderId="1" xfId="2" applyNumberFormat="1" applyFont="1" applyFill="1" applyBorder="1" applyAlignment="1">
      <alignment horizontal="right"/>
    </xf>
    <xf numFmtId="164" fontId="31" fillId="0" borderId="0" xfId="0" applyNumberFormat="1" applyFont="1" applyAlignment="1">
      <alignment horizontal="right"/>
    </xf>
    <xf numFmtId="0" fontId="0" fillId="0" borderId="14" xfId="0" applyBorder="1"/>
    <xf numFmtId="164" fontId="32" fillId="0" borderId="1" xfId="0" applyNumberFormat="1" applyFont="1" applyBorder="1" applyAlignment="1">
      <alignment horizontal="center"/>
    </xf>
    <xf numFmtId="164" fontId="33" fillId="0" borderId="14" xfId="0" applyNumberFormat="1" applyFont="1" applyBorder="1" applyAlignment="1">
      <alignment horizontal="center"/>
    </xf>
    <xf numFmtId="164" fontId="41" fillId="0" borderId="1" xfId="0" applyNumberFormat="1" applyFont="1" applyBorder="1"/>
    <xf numFmtId="164" fontId="31" fillId="0" borderId="14" xfId="0" applyNumberFormat="1" applyFont="1" applyBorder="1"/>
    <xf numFmtId="164" fontId="31" fillId="0" borderId="14" xfId="0" applyNumberFormat="1" applyFont="1" applyBorder="1" applyAlignment="1">
      <alignment horizontal="right"/>
    </xf>
    <xf numFmtId="164" fontId="31" fillId="0" borderId="4" xfId="0" applyNumberFormat="1" applyFont="1" applyBorder="1"/>
    <xf numFmtId="164" fontId="42" fillId="2" borderId="9" xfId="0" applyNumberFormat="1" applyFont="1" applyFill="1" applyBorder="1" applyAlignment="1">
      <alignment horizontal="right"/>
    </xf>
    <xf numFmtId="164" fontId="42" fillId="6" borderId="12" xfId="0" applyNumberFormat="1" applyFont="1" applyFill="1" applyBorder="1" applyAlignment="1">
      <alignment horizontal="right"/>
    </xf>
    <xf numFmtId="164" fontId="43" fillId="6" borderId="9" xfId="0" applyNumberFormat="1" applyFont="1" applyFill="1" applyBorder="1"/>
    <xf numFmtId="0" fontId="12" fillId="0" borderId="18" xfId="0" applyFont="1" applyBorder="1"/>
    <xf numFmtId="164" fontId="33" fillId="0" borderId="18" xfId="0" applyNumberFormat="1" applyFont="1" applyBorder="1"/>
    <xf numFmtId="164" fontId="19" fillId="0" borderId="18" xfId="0" applyNumberFormat="1" applyFont="1" applyBorder="1"/>
    <xf numFmtId="164" fontId="38" fillId="0" borderId="18" xfId="0" applyNumberFormat="1" applyFont="1" applyBorder="1"/>
    <xf numFmtId="164" fontId="35" fillId="0" borderId="18" xfId="0" applyNumberFormat="1" applyFont="1" applyBorder="1"/>
    <xf numFmtId="164" fontId="33" fillId="0" borderId="18" xfId="0" applyNumberFormat="1" applyFont="1" applyBorder="1" applyAlignment="1">
      <alignment horizontal="right"/>
    </xf>
    <xf numFmtId="0" fontId="12" fillId="0" borderId="19" xfId="0" applyFont="1" applyBorder="1"/>
    <xf numFmtId="164" fontId="33" fillId="0" borderId="19" xfId="0" applyNumberFormat="1" applyFont="1" applyBorder="1"/>
    <xf numFmtId="164" fontId="19" fillId="0" borderId="19" xfId="0" applyNumberFormat="1" applyFont="1" applyBorder="1"/>
    <xf numFmtId="164" fontId="38" fillId="0" borderId="19" xfId="0" applyNumberFormat="1" applyFont="1" applyBorder="1"/>
    <xf numFmtId="164" fontId="33" fillId="0" borderId="19" xfId="0" applyNumberFormat="1" applyFont="1" applyBorder="1" applyAlignment="1">
      <alignment horizontal="right"/>
    </xf>
    <xf numFmtId="0" fontId="12" fillId="0" borderId="20" xfId="0" applyFont="1" applyBorder="1"/>
    <xf numFmtId="164" fontId="19" fillId="0" borderId="20" xfId="0" applyNumberFormat="1" applyFont="1" applyBorder="1" applyAlignment="1">
      <alignment horizontal="right"/>
    </xf>
    <xf numFmtId="164" fontId="38" fillId="0" borderId="20" xfId="0" applyNumberFormat="1" applyFont="1" applyBorder="1"/>
    <xf numFmtId="164" fontId="33" fillId="0" borderId="20" xfId="0" applyNumberFormat="1" applyFont="1" applyBorder="1" applyAlignment="1">
      <alignment horizontal="right"/>
    </xf>
    <xf numFmtId="0" fontId="23" fillId="0" borderId="19" xfId="0" applyFont="1" applyBorder="1"/>
    <xf numFmtId="164" fontId="33" fillId="0" borderId="20" xfId="0" applyNumberFormat="1" applyFont="1" applyBorder="1"/>
    <xf numFmtId="164" fontId="19" fillId="0" borderId="20" xfId="0" applyNumberFormat="1" applyFont="1" applyBorder="1"/>
    <xf numFmtId="0" fontId="12" fillId="0" borderId="18" xfId="0" applyFont="1" applyBorder="1" applyAlignment="1">
      <alignment horizontal="left"/>
    </xf>
    <xf numFmtId="164" fontId="19" fillId="0" borderId="18" xfId="0" applyNumberFormat="1" applyFont="1" applyBorder="1" applyAlignment="1">
      <alignment horizontal="right"/>
    </xf>
    <xf numFmtId="164" fontId="38" fillId="0" borderId="18" xfId="0" applyNumberFormat="1" applyFont="1" applyBorder="1" applyAlignment="1">
      <alignment horizontal="right"/>
    </xf>
    <xf numFmtId="164" fontId="38" fillId="0" borderId="19" xfId="0" applyNumberFormat="1" applyFont="1" applyBorder="1" applyAlignment="1">
      <alignment horizontal="right"/>
    </xf>
    <xf numFmtId="164" fontId="38" fillId="0" borderId="20" xfId="0" applyNumberFormat="1" applyFont="1" applyBorder="1" applyAlignment="1">
      <alignment horizontal="right"/>
    </xf>
    <xf numFmtId="0" fontId="23" fillId="0" borderId="18" xfId="0" applyFont="1" applyBorder="1"/>
    <xf numFmtId="164" fontId="19" fillId="0" borderId="19" xfId="0" applyNumberFormat="1" applyFont="1" applyBorder="1" applyAlignment="1">
      <alignment horizontal="right"/>
    </xf>
    <xf numFmtId="164" fontId="23" fillId="0" borderId="18" xfId="0" applyNumberFormat="1" applyFont="1" applyBorder="1"/>
    <xf numFmtId="165" fontId="12" fillId="0" borderId="21" xfId="0" applyNumberFormat="1" applyFont="1" applyBorder="1"/>
    <xf numFmtId="165" fontId="12" fillId="0" borderId="22" xfId="0" applyNumberFormat="1" applyFont="1" applyBorder="1"/>
    <xf numFmtId="165" fontId="12" fillId="0" borderId="19" xfId="0" applyNumberFormat="1" applyFont="1" applyBorder="1"/>
    <xf numFmtId="165" fontId="1" fillId="0" borderId="22" xfId="0" applyNumberFormat="1" applyFont="1" applyBorder="1"/>
    <xf numFmtId="165" fontId="12" fillId="0" borderId="23" xfId="0" applyNumberFormat="1" applyFont="1" applyBorder="1"/>
    <xf numFmtId="165" fontId="1" fillId="0" borderId="18" xfId="0" applyNumberFormat="1" applyFont="1" applyBorder="1" applyAlignment="1">
      <alignment horizontal="left"/>
    </xf>
    <xf numFmtId="165" fontId="32" fillId="0" borderId="1" xfId="0" applyNumberFormat="1" applyFont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1" fillId="0" borderId="18" xfId="0" applyNumberFormat="1" applyFont="1" applyBorder="1"/>
    <xf numFmtId="164" fontId="1" fillId="0" borderId="1" xfId="0" applyNumberFormat="1" applyFont="1" applyBorder="1"/>
    <xf numFmtId="164" fontId="32" fillId="4" borderId="8" xfId="0" applyNumberFormat="1" applyFont="1" applyFill="1" applyBorder="1" applyAlignment="1">
      <alignment horizontal="right"/>
    </xf>
    <xf numFmtId="165" fontId="1" fillId="3" borderId="4" xfId="0" applyNumberFormat="1" applyFont="1" applyFill="1" applyBorder="1"/>
    <xf numFmtId="164" fontId="20" fillId="0" borderId="1" xfId="0" applyNumberFormat="1" applyFont="1" applyBorder="1"/>
    <xf numFmtId="165" fontId="7" fillId="4" borderId="1" xfId="0" applyNumberFormat="1" applyFont="1" applyFill="1" applyBorder="1"/>
    <xf numFmtId="164" fontId="37" fillId="2" borderId="1" xfId="2" applyNumberFormat="1" applyFont="1" applyFill="1" applyBorder="1" applyAlignment="1">
      <alignment vertical="center"/>
    </xf>
    <xf numFmtId="164" fontId="36" fillId="0" borderId="8" xfId="0" applyNumberFormat="1" applyFont="1" applyBorder="1" applyAlignment="1">
      <alignment horizontal="right"/>
    </xf>
    <xf numFmtId="164" fontId="35" fillId="0" borderId="18" xfId="0" applyNumberFormat="1" applyFont="1" applyBorder="1" applyAlignment="1">
      <alignment horizontal="right"/>
    </xf>
    <xf numFmtId="164" fontId="35" fillId="0" borderId="19" xfId="0" applyNumberFormat="1" applyFont="1" applyBorder="1" applyAlignment="1">
      <alignment horizontal="right"/>
    </xf>
    <xf numFmtId="164" fontId="35" fillId="0" borderId="20" xfId="0" applyNumberFormat="1" applyFont="1" applyBorder="1" applyAlignment="1">
      <alignment horizontal="right"/>
    </xf>
    <xf numFmtId="164" fontId="36" fillId="2" borderId="8" xfId="0" applyNumberFormat="1" applyFont="1" applyFill="1" applyBorder="1" applyAlignment="1">
      <alignment horizontal="right"/>
    </xf>
    <xf numFmtId="164" fontId="35" fillId="0" borderId="20" xfId="0" applyNumberFormat="1" applyFont="1" applyBorder="1"/>
    <xf numFmtId="164" fontId="38" fillId="0" borderId="1" xfId="0" applyNumberFormat="1" applyFont="1" applyBorder="1"/>
    <xf numFmtId="164" fontId="19" fillId="0" borderId="1" xfId="0" applyNumberFormat="1" applyFont="1" applyBorder="1"/>
    <xf numFmtId="164" fontId="8" fillId="0" borderId="18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164" fontId="20" fillId="0" borderId="18" xfId="0" applyNumberFormat="1" applyFont="1" applyBorder="1" applyAlignment="1">
      <alignment horizontal="right"/>
    </xf>
    <xf numFmtId="164" fontId="33" fillId="0" borderId="0" xfId="0" quotePrefix="1" applyNumberFormat="1" applyFont="1"/>
    <xf numFmtId="0" fontId="23" fillId="0" borderId="18" xfId="2" applyFont="1" applyBorder="1" applyAlignment="1">
      <alignment vertical="center"/>
    </xf>
    <xf numFmtId="164" fontId="8" fillId="0" borderId="18" xfId="2" applyNumberFormat="1" applyFont="1" applyBorder="1" applyAlignment="1">
      <alignment vertical="center"/>
    </xf>
    <xf numFmtId="0" fontId="23" fillId="0" borderId="19" xfId="2" applyFont="1" applyBorder="1" applyAlignment="1">
      <alignment vertical="center"/>
    </xf>
    <xf numFmtId="164" fontId="33" fillId="0" borderId="19" xfId="2" applyNumberFormat="1" applyFont="1" applyBorder="1" applyAlignment="1">
      <alignment horizontal="right" vertical="center"/>
    </xf>
    <xf numFmtId="164" fontId="8" fillId="0" borderId="19" xfId="2" applyNumberFormat="1" applyFont="1" applyBorder="1" applyAlignment="1">
      <alignment vertical="center"/>
    </xf>
    <xf numFmtId="0" fontId="23" fillId="0" borderId="20" xfId="2" applyFont="1" applyBorder="1" applyAlignment="1">
      <alignment vertical="center"/>
    </xf>
    <xf numFmtId="164" fontId="33" fillId="0" borderId="20" xfId="2" applyNumberFormat="1" applyFont="1" applyBorder="1" applyAlignment="1">
      <alignment horizontal="right" vertical="center"/>
    </xf>
    <xf numFmtId="164" fontId="8" fillId="0" borderId="20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164" fontId="32" fillId="0" borderId="1" xfId="2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vertical="center"/>
    </xf>
    <xf numFmtId="0" fontId="1" fillId="0" borderId="20" xfId="2" applyFont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19" xfId="2" applyFont="1" applyBorder="1" applyAlignment="1">
      <alignment horizontal="right" vertical="center"/>
    </xf>
    <xf numFmtId="0" fontId="1" fillId="0" borderId="20" xfId="2" applyFont="1" applyBorder="1" applyAlignment="1">
      <alignment horizontal="right" vertical="center"/>
    </xf>
    <xf numFmtId="0" fontId="23" fillId="0" borderId="5" xfId="0" applyFont="1" applyBorder="1"/>
    <xf numFmtId="164" fontId="8" fillId="0" borderId="18" xfId="2" quotePrefix="1" applyNumberFormat="1" applyFont="1" applyBorder="1" applyAlignment="1">
      <alignment horizontal="right" vertical="center"/>
    </xf>
    <xf numFmtId="0" fontId="23" fillId="0" borderId="19" xfId="2" applyFont="1" applyBorder="1"/>
    <xf numFmtId="164" fontId="8" fillId="0" borderId="19" xfId="2" quotePrefix="1" applyNumberFormat="1" applyFont="1" applyBorder="1" applyAlignment="1">
      <alignment horizontal="right" vertical="center"/>
    </xf>
    <xf numFmtId="0" fontId="23" fillId="0" borderId="5" xfId="2" applyFont="1" applyBorder="1" applyAlignment="1">
      <alignment vertical="center"/>
    </xf>
    <xf numFmtId="0" fontId="1" fillId="0" borderId="19" xfId="2" applyFont="1" applyBorder="1"/>
    <xf numFmtId="164" fontId="33" fillId="0" borderId="19" xfId="2" applyNumberFormat="1" applyFont="1" applyBorder="1" applyAlignment="1">
      <alignment vertical="center"/>
    </xf>
    <xf numFmtId="0" fontId="1" fillId="0" borderId="5" xfId="0" applyFont="1" applyBorder="1"/>
    <xf numFmtId="0" fontId="1" fillId="0" borderId="5" xfId="2" applyFont="1" applyBorder="1" applyAlignment="1">
      <alignment vertical="center"/>
    </xf>
    <xf numFmtId="0" fontId="23" fillId="0" borderId="5" xfId="2" applyFont="1" applyBorder="1"/>
    <xf numFmtId="164" fontId="8" fillId="0" borderId="20" xfId="0" applyNumberFormat="1" applyFont="1" applyBorder="1"/>
    <xf numFmtId="164" fontId="46" fillId="0" borderId="6" xfId="0" applyNumberFormat="1" applyFont="1" applyBorder="1" applyAlignment="1">
      <alignment horizontal="left"/>
    </xf>
    <xf numFmtId="164" fontId="44" fillId="0" borderId="0" xfId="0" applyNumberFormat="1" applyFont="1"/>
    <xf numFmtId="164" fontId="47" fillId="0" borderId="0" xfId="0" applyNumberFormat="1" applyFont="1"/>
    <xf numFmtId="164" fontId="46" fillId="0" borderId="6" xfId="2" applyNumberFormat="1" applyFont="1" applyBorder="1" applyAlignment="1">
      <alignment horizontal="center" vertical="center"/>
    </xf>
    <xf numFmtId="164" fontId="36" fillId="0" borderId="0" xfId="2" applyNumberFormat="1" applyFont="1" applyAlignment="1">
      <alignment horizontal="center" vertical="center"/>
    </xf>
    <xf numFmtId="164" fontId="35" fillId="0" borderId="19" xfId="0" applyNumberFormat="1" applyFont="1" applyBorder="1"/>
    <xf numFmtId="164" fontId="36" fillId="4" borderId="8" xfId="0" applyNumberFormat="1" applyFont="1" applyFill="1" applyBorder="1" applyAlignment="1">
      <alignment horizontal="right"/>
    </xf>
    <xf numFmtId="164" fontId="36" fillId="6" borderId="1" xfId="0" applyNumberFormat="1" applyFont="1" applyFill="1" applyBorder="1"/>
    <xf numFmtId="164" fontId="36" fillId="0" borderId="1" xfId="0" applyNumberFormat="1" applyFont="1" applyBorder="1" applyAlignment="1">
      <alignment horizontal="right"/>
    </xf>
    <xf numFmtId="164" fontId="31" fillId="0" borderId="18" xfId="0" applyNumberFormat="1" applyFont="1" applyBorder="1" applyAlignment="1">
      <alignment horizontal="right"/>
    </xf>
    <xf numFmtId="164" fontId="31" fillId="0" borderId="19" xfId="0" applyNumberFormat="1" applyFont="1" applyBorder="1" applyAlignment="1">
      <alignment horizontal="right"/>
    </xf>
    <xf numFmtId="164" fontId="31" fillId="0" borderId="20" xfId="0" applyNumberFormat="1" applyFont="1" applyBorder="1" applyAlignment="1">
      <alignment horizontal="right"/>
    </xf>
    <xf numFmtId="164" fontId="31" fillId="0" borderId="19" xfId="0" applyNumberFormat="1" applyFont="1" applyBorder="1"/>
    <xf numFmtId="164" fontId="31" fillId="0" borderId="20" xfId="0" applyNumberFormat="1" applyFont="1" applyBorder="1"/>
    <xf numFmtId="0" fontId="0" fillId="7" borderId="16" xfId="0" applyFill="1" applyBorder="1"/>
    <xf numFmtId="164" fontId="13" fillId="0" borderId="3" xfId="0" applyNumberFormat="1" applyFont="1" applyBorder="1" applyAlignment="1">
      <alignment horizontal="left"/>
    </xf>
    <xf numFmtId="164" fontId="13" fillId="0" borderId="8" xfId="0" applyNumberFormat="1" applyFont="1" applyBorder="1" applyAlignment="1">
      <alignment horizontal="left"/>
    </xf>
    <xf numFmtId="0" fontId="1" fillId="0" borderId="19" xfId="2" applyFont="1" applyBorder="1" applyAlignment="1">
      <alignment vertical="center"/>
    </xf>
    <xf numFmtId="0" fontId="1" fillId="0" borderId="26" xfId="2" applyFont="1" applyBorder="1" applyAlignment="1">
      <alignment vertical="center"/>
    </xf>
    <xf numFmtId="0" fontId="10" fillId="4" borderId="1" xfId="0" applyFont="1" applyFill="1" applyBorder="1"/>
    <xf numFmtId="0" fontId="1" fillId="0" borderId="0" xfId="2" applyFont="1" applyAlignment="1">
      <alignment vertical="center"/>
    </xf>
    <xf numFmtId="0" fontId="1" fillId="0" borderId="1" xfId="2" applyFont="1" applyBorder="1" applyAlignment="1">
      <alignment vertical="center"/>
    </xf>
    <xf numFmtId="0" fontId="10" fillId="0" borderId="0" xfId="0" applyFont="1" applyAlignment="1">
      <alignment horizontal="left"/>
    </xf>
    <xf numFmtId="164" fontId="36" fillId="0" borderId="0" xfId="0" applyNumberFormat="1" applyFont="1" applyAlignment="1">
      <alignment horizontal="right"/>
    </xf>
    <xf numFmtId="164" fontId="40" fillId="0" borderId="0" xfId="0" applyNumberFormat="1" applyFont="1" applyAlignment="1">
      <alignment vertical="center"/>
    </xf>
    <xf numFmtId="0" fontId="3" fillId="0" borderId="6" xfId="2" applyFont="1" applyBorder="1" applyAlignment="1">
      <alignment horizontal="left" vertical="center"/>
    </xf>
    <xf numFmtId="164" fontId="48" fillId="0" borderId="19" xfId="0" applyNumberFormat="1" applyFont="1" applyBorder="1"/>
    <xf numFmtId="164" fontId="49" fillId="0" borderId="19" xfId="0" applyNumberFormat="1" applyFont="1" applyBorder="1"/>
    <xf numFmtId="164" fontId="32" fillId="0" borderId="2" xfId="0" applyNumberFormat="1" applyFont="1" applyBorder="1" applyAlignment="1">
      <alignment horizontal="center"/>
    </xf>
    <xf numFmtId="164" fontId="32" fillId="0" borderId="7" xfId="0" applyNumberFormat="1" applyFont="1" applyBorder="1" applyAlignment="1">
      <alignment horizontal="center"/>
    </xf>
    <xf numFmtId="164" fontId="33" fillId="0" borderId="0" xfId="2" applyNumberFormat="1" applyFont="1" applyAlignment="1">
      <alignment vertical="center"/>
    </xf>
    <xf numFmtId="164" fontId="33" fillId="0" borderId="18" xfId="2" applyNumberFormat="1" applyFont="1" applyBorder="1" applyAlignment="1">
      <alignment vertical="center"/>
    </xf>
    <xf numFmtId="164" fontId="33" fillId="0" borderId="26" xfId="2" applyNumberFormat="1" applyFont="1" applyBorder="1" applyAlignment="1">
      <alignment vertical="center"/>
    </xf>
    <xf numFmtId="164" fontId="32" fillId="0" borderId="1" xfId="2" applyNumberFormat="1" applyFont="1" applyBorder="1" applyAlignment="1">
      <alignment vertical="center"/>
    </xf>
    <xf numFmtId="164" fontId="33" fillId="0" borderId="1" xfId="2" applyNumberFormat="1" applyFont="1" applyBorder="1" applyAlignment="1">
      <alignment vertical="center"/>
    </xf>
    <xf numFmtId="164" fontId="31" fillId="0" borderId="24" xfId="0" applyNumberFormat="1" applyFont="1" applyBorder="1" applyAlignment="1">
      <alignment horizontal="right"/>
    </xf>
    <xf numFmtId="164" fontId="33" fillId="0" borderId="21" xfId="0" applyNumberFormat="1" applyFont="1" applyBorder="1"/>
    <xf numFmtId="164" fontId="33" fillId="0" borderId="22" xfId="0" applyNumberFormat="1" applyFont="1" applyBorder="1"/>
    <xf numFmtId="164" fontId="33" fillId="0" borderId="23" xfId="0" applyNumberFormat="1" applyFont="1" applyBorder="1"/>
    <xf numFmtId="164" fontId="33" fillId="0" borderId="18" xfId="0" applyNumberFormat="1" applyFont="1" applyBorder="1" applyAlignment="1">
      <alignment horizontal="left"/>
    </xf>
    <xf numFmtId="164" fontId="33" fillId="0" borderId="20" xfId="2" applyNumberFormat="1" applyFont="1" applyBorder="1" applyAlignment="1">
      <alignment vertical="center"/>
    </xf>
    <xf numFmtId="164" fontId="33" fillId="0" borderId="18" xfId="2" applyNumberFormat="1" applyFont="1" applyBorder="1"/>
    <xf numFmtId="164" fontId="33" fillId="0" borderId="19" xfId="2" applyNumberFormat="1" applyFont="1" applyBorder="1"/>
    <xf numFmtId="0" fontId="1" fillId="0" borderId="20" xfId="0" applyFont="1" applyBorder="1"/>
    <xf numFmtId="164" fontId="50" fillId="0" borderId="2" xfId="0" applyNumberFormat="1" applyFont="1" applyBorder="1" applyAlignment="1">
      <alignment horizontal="center"/>
    </xf>
    <xf numFmtId="164" fontId="50" fillId="0" borderId="7" xfId="0" applyNumberFormat="1" applyFont="1" applyBorder="1" applyAlignment="1">
      <alignment horizontal="center"/>
    </xf>
    <xf numFmtId="164" fontId="50" fillId="0" borderId="1" xfId="0" applyNumberFormat="1" applyFont="1" applyBorder="1" applyAlignment="1">
      <alignment horizontal="center"/>
    </xf>
    <xf numFmtId="164" fontId="51" fillId="0" borderId="0" xfId="0" applyNumberFormat="1" applyFont="1"/>
    <xf numFmtId="164" fontId="51" fillId="0" borderId="18" xfId="0" applyNumberFormat="1" applyFont="1" applyBorder="1"/>
    <xf numFmtId="164" fontId="51" fillId="0" borderId="19" xfId="0" applyNumberFormat="1" applyFont="1" applyBorder="1"/>
    <xf numFmtId="164" fontId="51" fillId="0" borderId="20" xfId="0" applyNumberFormat="1" applyFont="1" applyBorder="1"/>
    <xf numFmtId="164" fontId="50" fillId="0" borderId="1" xfId="0" applyNumberFormat="1" applyFont="1" applyBorder="1"/>
    <xf numFmtId="164" fontId="51" fillId="0" borderId="18" xfId="0" quotePrefix="1" applyNumberFormat="1" applyFont="1" applyBorder="1" applyAlignment="1">
      <alignment horizontal="right"/>
    </xf>
    <xf numFmtId="164" fontId="50" fillId="0" borderId="1" xfId="0" applyNumberFormat="1" applyFont="1" applyBorder="1" applyAlignment="1">
      <alignment horizontal="right"/>
    </xf>
    <xf numFmtId="164" fontId="51" fillId="0" borderId="3" xfId="0" applyNumberFormat="1" applyFont="1" applyBorder="1"/>
    <xf numFmtId="164" fontId="51" fillId="0" borderId="14" xfId="0" applyNumberFormat="1" applyFont="1" applyBorder="1"/>
    <xf numFmtId="164" fontId="51" fillId="0" borderId="8" xfId="0" applyNumberFormat="1" applyFont="1" applyBorder="1"/>
    <xf numFmtId="164" fontId="51" fillId="0" borderId="1" xfId="0" applyNumberFormat="1" applyFont="1" applyBorder="1" applyAlignment="1">
      <alignment horizontal="right"/>
    </xf>
    <xf numFmtId="164" fontId="50" fillId="2" borderId="1" xfId="0" applyNumberFormat="1" applyFont="1" applyFill="1" applyBorder="1" applyAlignment="1">
      <alignment horizontal="right"/>
    </xf>
    <xf numFmtId="164" fontId="50" fillId="0" borderId="0" xfId="0" applyNumberFormat="1" applyFont="1" applyAlignment="1">
      <alignment horizontal="left"/>
    </xf>
    <xf numFmtId="164" fontId="50" fillId="2" borderId="8" xfId="0" applyNumberFormat="1" applyFont="1" applyFill="1" applyBorder="1" applyAlignment="1">
      <alignment horizontal="right"/>
    </xf>
    <xf numFmtId="164" fontId="51" fillId="0" borderId="0" xfId="0" applyNumberFormat="1" applyFont="1" applyAlignment="1">
      <alignment horizontal="right"/>
    </xf>
    <xf numFmtId="164" fontId="52" fillId="0" borderId="0" xfId="0" applyNumberFormat="1" applyFont="1" applyAlignment="1">
      <alignment horizontal="right"/>
    </xf>
    <xf numFmtId="164" fontId="50" fillId="0" borderId="0" xfId="0" applyNumberFormat="1" applyFont="1" applyAlignment="1">
      <alignment horizontal="right"/>
    </xf>
    <xf numFmtId="164" fontId="51" fillId="0" borderId="0" xfId="0" quotePrefix="1" applyNumberFormat="1" applyFont="1" applyAlignment="1">
      <alignment horizontal="right"/>
    </xf>
    <xf numFmtId="164" fontId="51" fillId="0" borderId="19" xfId="2" applyNumberFormat="1" applyFont="1" applyBorder="1" applyAlignment="1">
      <alignment vertical="center"/>
    </xf>
    <xf numFmtId="164" fontId="51" fillId="0" borderId="20" xfId="2" applyNumberFormat="1" applyFont="1" applyBorder="1" applyAlignment="1">
      <alignment vertical="center"/>
    </xf>
    <xf numFmtId="164" fontId="50" fillId="0" borderId="1" xfId="2" applyNumberFormat="1" applyFont="1" applyBorder="1" applyAlignment="1">
      <alignment vertical="center"/>
    </xf>
    <xf numFmtId="164" fontId="51" fillId="0" borderId="0" xfId="2" applyNumberFormat="1" applyFont="1" applyAlignment="1">
      <alignment vertical="center"/>
    </xf>
    <xf numFmtId="164" fontId="51" fillId="0" borderId="19" xfId="2" applyNumberFormat="1" applyFont="1" applyBorder="1"/>
    <xf numFmtId="164" fontId="50" fillId="2" borderId="1" xfId="2" applyNumberFormat="1" applyFont="1" applyFill="1" applyBorder="1"/>
    <xf numFmtId="165" fontId="50" fillId="4" borderId="1" xfId="0" applyNumberFormat="1" applyFont="1" applyFill="1" applyBorder="1"/>
    <xf numFmtId="164" fontId="51" fillId="0" borderId="1" xfId="0" applyNumberFormat="1" applyFont="1" applyBorder="1"/>
    <xf numFmtId="164" fontId="50" fillId="0" borderId="0" xfId="0" applyNumberFormat="1" applyFont="1"/>
    <xf numFmtId="164" fontId="51" fillId="0" borderId="19" xfId="0" quotePrefix="1" applyNumberFormat="1" applyFont="1" applyBorder="1" applyAlignment="1">
      <alignment horizontal="right"/>
    </xf>
    <xf numFmtId="164" fontId="50" fillId="6" borderId="1" xfId="0" applyNumberFormat="1" applyFont="1" applyFill="1" applyBorder="1"/>
    <xf numFmtId="0" fontId="10" fillId="0" borderId="3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51" fillId="0" borderId="0" xfId="2" applyFont="1" applyAlignment="1">
      <alignment vertical="center"/>
    </xf>
    <xf numFmtId="164" fontId="50" fillId="4" borderId="1" xfId="0" applyNumberFormat="1" applyFont="1" applyFill="1" applyBorder="1" applyAlignment="1">
      <alignment horizontal="right"/>
    </xf>
    <xf numFmtId="164" fontId="33" fillId="0" borderId="24" xfId="2" applyNumberFormat="1" applyFont="1" applyBorder="1" applyAlignment="1">
      <alignment vertical="center"/>
    </xf>
    <xf numFmtId="165" fontId="1" fillId="0" borderId="19" xfId="0" applyNumberFormat="1" applyFont="1" applyBorder="1"/>
    <xf numFmtId="164" fontId="51" fillId="0" borderId="20" xfId="0" quotePrefix="1" applyNumberFormat="1" applyFont="1" applyBorder="1" applyAlignment="1">
      <alignment horizontal="right"/>
    </xf>
    <xf numFmtId="0" fontId="10" fillId="0" borderId="0" xfId="2" applyFont="1" applyAlignment="1">
      <alignment horizontal="left" vertical="center"/>
    </xf>
    <xf numFmtId="164" fontId="50" fillId="0" borderId="0" xfId="2" applyNumberFormat="1" applyFont="1" applyAlignment="1">
      <alignment vertical="center"/>
    </xf>
    <xf numFmtId="164" fontId="32" fillId="0" borderId="0" xfId="2" applyNumberFormat="1" applyFont="1" applyAlignment="1">
      <alignment vertical="center"/>
    </xf>
    <xf numFmtId="0" fontId="1" fillId="0" borderId="2" xfId="2" applyFont="1" applyBorder="1" applyAlignment="1">
      <alignment horizontal="left" vertical="center"/>
    </xf>
    <xf numFmtId="164" fontId="51" fillId="0" borderId="2" xfId="2" applyNumberFormat="1" applyFont="1" applyBorder="1" applyAlignment="1">
      <alignment vertical="center"/>
    </xf>
    <xf numFmtId="164" fontId="33" fillId="0" borderId="2" xfId="2" applyNumberFormat="1" applyFont="1" applyBorder="1" applyAlignment="1">
      <alignment vertical="center"/>
    </xf>
    <xf numFmtId="164" fontId="31" fillId="0" borderId="18" xfId="0" applyNumberFormat="1" applyFont="1" applyBorder="1" applyAlignment="1">
      <alignment horizontal="center"/>
    </xf>
    <xf numFmtId="164" fontId="51" fillId="0" borderId="26" xfId="0" applyNumberFormat="1" applyFont="1" applyBorder="1"/>
    <xf numFmtId="164" fontId="51" fillId="0" borderId="24" xfId="0" applyNumberFormat="1" applyFont="1" applyBorder="1"/>
    <xf numFmtId="164" fontId="51" fillId="0" borderId="26" xfId="2" applyNumberFormat="1" applyFont="1" applyBorder="1" applyAlignment="1">
      <alignment vertical="center"/>
    </xf>
    <xf numFmtId="164" fontId="51" fillId="0" borderId="18" xfId="2" applyNumberFormat="1" applyFont="1" applyBorder="1" applyAlignment="1">
      <alignment vertical="center"/>
    </xf>
    <xf numFmtId="164" fontId="51" fillId="0" borderId="18" xfId="2" applyNumberFormat="1" applyFont="1" applyBorder="1"/>
    <xf numFmtId="164" fontId="51" fillId="0" borderId="24" xfId="2" applyNumberFormat="1" applyFont="1" applyBorder="1" applyAlignment="1">
      <alignment vertical="center"/>
    </xf>
    <xf numFmtId="164" fontId="51" fillId="0" borderId="1" xfId="2" applyNumberFormat="1" applyFont="1" applyBorder="1" applyAlignment="1">
      <alignment vertical="center"/>
    </xf>
    <xf numFmtId="164" fontId="50" fillId="6" borderId="1" xfId="2" applyNumberFormat="1" applyFont="1" applyFill="1" applyBorder="1" applyAlignment="1">
      <alignment horizontal="right"/>
    </xf>
    <xf numFmtId="164" fontId="50" fillId="8" borderId="8" xfId="2" applyNumberFormat="1" applyFont="1" applyFill="1" applyBorder="1" applyAlignment="1">
      <alignment horizontal="right" vertical="center"/>
    </xf>
    <xf numFmtId="164" fontId="53" fillId="0" borderId="2" xfId="0" applyNumberFormat="1" applyFont="1" applyBorder="1" applyAlignment="1">
      <alignment horizontal="center"/>
    </xf>
    <xf numFmtId="164" fontId="54" fillId="0" borderId="0" xfId="0" applyNumberFormat="1" applyFont="1"/>
    <xf numFmtId="164" fontId="54" fillId="0" borderId="1" xfId="0" applyNumberFormat="1" applyFont="1" applyBorder="1"/>
    <xf numFmtId="164" fontId="53" fillId="0" borderId="1" xfId="0" applyNumberFormat="1" applyFont="1" applyBorder="1"/>
    <xf numFmtId="164" fontId="54" fillId="0" borderId="18" xfId="0" applyNumberFormat="1" applyFont="1" applyBorder="1"/>
    <xf numFmtId="164" fontId="54" fillId="0" borderId="20" xfId="0" applyNumberFormat="1" applyFont="1" applyBorder="1"/>
    <xf numFmtId="164" fontId="54" fillId="0" borderId="19" xfId="0" applyNumberFormat="1" applyFont="1" applyBorder="1"/>
    <xf numFmtId="164" fontId="53" fillId="0" borderId="1" xfId="0" applyNumberFormat="1" applyFont="1" applyBorder="1" applyAlignment="1">
      <alignment horizontal="right"/>
    </xf>
    <xf numFmtId="0" fontId="55" fillId="0" borderId="0" xfId="0" applyFont="1"/>
    <xf numFmtId="164" fontId="53" fillId="6" borderId="1" xfId="0" applyNumberFormat="1" applyFont="1" applyFill="1" applyBorder="1"/>
    <xf numFmtId="164" fontId="54" fillId="0" borderId="0" xfId="0" applyNumberFormat="1" applyFont="1" applyAlignment="1">
      <alignment vertical="top" wrapText="1"/>
    </xf>
    <xf numFmtId="164" fontId="53" fillId="0" borderId="8" xfId="0" applyNumberFormat="1" applyFont="1" applyBorder="1" applyAlignment="1">
      <alignment horizontal="right"/>
    </xf>
    <xf numFmtId="164" fontId="54" fillId="0" borderId="18" xfId="0" applyNumberFormat="1" applyFont="1" applyBorder="1" applyAlignment="1">
      <alignment horizontal="right"/>
    </xf>
    <xf numFmtId="164" fontId="54" fillId="0" borderId="19" xfId="0" applyNumberFormat="1" applyFont="1" applyBorder="1" applyAlignment="1">
      <alignment horizontal="right"/>
    </xf>
    <xf numFmtId="164" fontId="54" fillId="0" borderId="20" xfId="0" applyNumberFormat="1" applyFont="1" applyBorder="1" applyAlignment="1">
      <alignment horizontal="right"/>
    </xf>
    <xf numFmtId="164" fontId="53" fillId="0" borderId="0" xfId="0" applyNumberFormat="1" applyFont="1" applyAlignment="1">
      <alignment horizontal="right"/>
    </xf>
    <xf numFmtId="164" fontId="53" fillId="2" borderId="8" xfId="0" applyNumberFormat="1" applyFont="1" applyFill="1" applyBorder="1" applyAlignment="1">
      <alignment horizontal="right"/>
    </xf>
    <xf numFmtId="164" fontId="53" fillId="0" borderId="0" xfId="0" applyNumberFormat="1" applyFont="1"/>
    <xf numFmtId="164" fontId="56" fillId="0" borderId="6" xfId="2" applyNumberFormat="1" applyFont="1" applyBorder="1" applyAlignment="1">
      <alignment horizontal="right" vertical="center"/>
    </xf>
    <xf numFmtId="164" fontId="53" fillId="0" borderId="15" xfId="2" applyNumberFormat="1" applyFont="1" applyBorder="1" applyAlignment="1">
      <alignment horizontal="right" vertical="center"/>
    </xf>
    <xf numFmtId="164" fontId="53" fillId="0" borderId="1" xfId="2" applyNumberFormat="1" applyFont="1" applyBorder="1" applyAlignment="1">
      <alignment vertical="center"/>
    </xf>
    <xf numFmtId="165" fontId="53" fillId="4" borderId="1" xfId="0" applyNumberFormat="1" applyFont="1" applyFill="1" applyBorder="1"/>
    <xf numFmtId="164" fontId="54" fillId="0" borderId="0" xfId="0" applyNumberFormat="1" applyFont="1" applyAlignment="1">
      <alignment horizontal="right"/>
    </xf>
    <xf numFmtId="164" fontId="56" fillId="0" borderId="6" xfId="2" applyNumberFormat="1" applyFont="1" applyBorder="1" applyAlignment="1">
      <alignment horizontal="center" vertical="center"/>
    </xf>
    <xf numFmtId="164" fontId="53" fillId="0" borderId="15" xfId="2" applyNumberFormat="1" applyFont="1" applyBorder="1" applyAlignment="1">
      <alignment horizontal="center" vertical="center"/>
    </xf>
    <xf numFmtId="164" fontId="54" fillId="0" borderId="6" xfId="0" applyNumberFormat="1" applyFont="1" applyBorder="1" applyAlignment="1">
      <alignment horizontal="center"/>
    </xf>
    <xf numFmtId="164" fontId="54" fillId="0" borderId="0" xfId="0" applyNumberFormat="1" applyFont="1" applyAlignment="1">
      <alignment horizontal="center"/>
    </xf>
    <xf numFmtId="0" fontId="57" fillId="0" borderId="6" xfId="0" applyFont="1" applyBorder="1"/>
    <xf numFmtId="0" fontId="54" fillId="0" borderId="0" xfId="0" applyFont="1"/>
    <xf numFmtId="0" fontId="56" fillId="0" borderId="6" xfId="2" applyFont="1" applyBorder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4" fillId="0" borderId="0" xfId="2" applyFont="1" applyAlignment="1">
      <alignment vertical="center"/>
    </xf>
    <xf numFmtId="164" fontId="53" fillId="6" borderId="1" xfId="2" applyNumberFormat="1" applyFont="1" applyFill="1" applyBorder="1" applyAlignment="1">
      <alignment horizontal="right"/>
    </xf>
    <xf numFmtId="164" fontId="53" fillId="4" borderId="1" xfId="0" applyNumberFormat="1" applyFont="1" applyFill="1" applyBorder="1" applyAlignment="1">
      <alignment horizontal="right"/>
    </xf>
    <xf numFmtId="164" fontId="53" fillId="0" borderId="0" xfId="2" applyNumberFormat="1" applyFont="1" applyAlignment="1">
      <alignment horizontal="center" vertical="center"/>
    </xf>
    <xf numFmtId="164" fontId="55" fillId="0" borderId="0" xfId="0" applyNumberFormat="1" applyFont="1"/>
    <xf numFmtId="165" fontId="53" fillId="0" borderId="1" xfId="0" applyNumberFormat="1" applyFont="1" applyBorder="1" applyAlignment="1">
      <alignment horizontal="right"/>
    </xf>
    <xf numFmtId="165" fontId="50" fillId="0" borderId="1" xfId="0" applyNumberFormat="1" applyFont="1" applyBorder="1" applyAlignment="1">
      <alignment horizontal="right"/>
    </xf>
    <xf numFmtId="165" fontId="28" fillId="3" borderId="9" xfId="0" applyNumberFormat="1" applyFont="1" applyFill="1" applyBorder="1" applyAlignment="1">
      <alignment vertical="center"/>
    </xf>
    <xf numFmtId="165" fontId="28" fillId="3" borderId="11" xfId="0" applyNumberFormat="1" applyFont="1" applyFill="1" applyBorder="1"/>
    <xf numFmtId="164" fontId="60" fillId="2" borderId="9" xfId="0" applyNumberFormat="1" applyFont="1" applyFill="1" applyBorder="1" applyAlignment="1">
      <alignment horizontal="right"/>
    </xf>
    <xf numFmtId="164" fontId="37" fillId="0" borderId="2" xfId="0" applyNumberFormat="1" applyFont="1" applyBorder="1" applyAlignment="1">
      <alignment horizontal="center"/>
    </xf>
    <xf numFmtId="164" fontId="37" fillId="0" borderId="7" xfId="0" applyNumberFormat="1" applyFont="1" applyBorder="1" applyAlignment="1">
      <alignment horizontal="center" vertical="center"/>
    </xf>
    <xf numFmtId="164" fontId="37" fillId="6" borderId="1" xfId="2" applyNumberFormat="1" applyFont="1" applyFill="1" applyBorder="1" applyAlignment="1">
      <alignment horizontal="right"/>
    </xf>
    <xf numFmtId="164" fontId="37" fillId="4" borderId="1" xfId="0" applyNumberFormat="1" applyFont="1" applyFill="1" applyBorder="1" applyAlignment="1">
      <alignment horizontal="right"/>
    </xf>
    <xf numFmtId="164" fontId="61" fillId="0" borderId="6" xfId="2" applyNumberFormat="1" applyFont="1" applyBorder="1" applyAlignment="1">
      <alignment horizontal="center" vertical="center"/>
    </xf>
    <xf numFmtId="164" fontId="37" fillId="0" borderId="0" xfId="2" applyNumberFormat="1" applyFont="1" applyAlignment="1">
      <alignment horizontal="center" vertical="center"/>
    </xf>
    <xf numFmtId="164" fontId="37" fillId="6" borderId="1" xfId="0" applyNumberFormat="1" applyFont="1" applyFill="1" applyBorder="1"/>
    <xf numFmtId="164" fontId="61" fillId="0" borderId="6" xfId="2" applyNumberFormat="1" applyFont="1" applyBorder="1" applyAlignment="1">
      <alignment horizontal="right" vertical="center"/>
    </xf>
    <xf numFmtId="164" fontId="37" fillId="0" borderId="0" xfId="2" applyNumberFormat="1" applyFont="1" applyAlignment="1">
      <alignment horizontal="right" vertical="center"/>
    </xf>
    <xf numFmtId="164" fontId="38" fillId="0" borderId="0" xfId="2" applyNumberFormat="1" applyFont="1" applyAlignment="1">
      <alignment horizontal="right" vertical="center"/>
    </xf>
    <xf numFmtId="164" fontId="38" fillId="0" borderId="18" xfId="2" applyNumberFormat="1" applyFont="1" applyBorder="1" applyAlignment="1">
      <alignment horizontal="right" vertical="center"/>
    </xf>
    <xf numFmtId="164" fontId="38" fillId="0" borderId="24" xfId="0" applyNumberFormat="1" applyFont="1" applyBorder="1" applyAlignment="1">
      <alignment horizontal="right"/>
    </xf>
    <xf numFmtId="164" fontId="38" fillId="0" borderId="19" xfId="2" applyNumberFormat="1" applyFont="1" applyBorder="1" applyAlignment="1">
      <alignment horizontal="right" vertical="center"/>
    </xf>
    <xf numFmtId="164" fontId="38" fillId="0" borderId="26" xfId="2" applyNumberFormat="1" applyFont="1" applyBorder="1" applyAlignment="1">
      <alignment horizontal="right" vertical="center"/>
    </xf>
    <xf numFmtId="164" fontId="38" fillId="0" borderId="1" xfId="2" applyNumberFormat="1" applyFont="1" applyBorder="1" applyAlignment="1">
      <alignment horizontal="right" vertical="center"/>
    </xf>
    <xf numFmtId="164" fontId="38" fillId="0" borderId="2" xfId="2" applyNumberFormat="1" applyFont="1" applyBorder="1" applyAlignment="1">
      <alignment horizontal="right" vertical="center"/>
    </xf>
    <xf numFmtId="164" fontId="39" fillId="0" borderId="0" xfId="0" applyNumberFormat="1" applyFont="1" applyAlignment="1">
      <alignment horizontal="right"/>
    </xf>
    <xf numFmtId="164" fontId="22" fillId="0" borderId="6" xfId="0" applyNumberFormat="1" applyFont="1" applyBorder="1"/>
    <xf numFmtId="164" fontId="8" fillId="0" borderId="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8" xfId="0" applyNumberFormat="1" applyFont="1" applyBorder="1"/>
    <xf numFmtId="164" fontId="8" fillId="0" borderId="19" xfId="0" applyNumberFormat="1" applyFont="1" applyBorder="1"/>
    <xf numFmtId="164" fontId="20" fillId="0" borderId="8" xfId="0" applyNumberFormat="1" applyFont="1" applyBorder="1"/>
    <xf numFmtId="164" fontId="20" fillId="0" borderId="10" xfId="0" applyNumberFormat="1" applyFont="1" applyBorder="1"/>
    <xf numFmtId="164" fontId="20" fillId="0" borderId="7" xfId="0" applyNumberFormat="1" applyFont="1" applyBorder="1"/>
    <xf numFmtId="164" fontId="58" fillId="2" borderId="12" xfId="0" applyNumberFormat="1" applyFont="1" applyFill="1" applyBorder="1"/>
    <xf numFmtId="164" fontId="58" fillId="2" borderId="9" xfId="0" applyNumberFormat="1" applyFont="1" applyFill="1" applyBorder="1"/>
    <xf numFmtId="164" fontId="37" fillId="4" borderId="1" xfId="0" applyNumberFormat="1" applyFont="1" applyFill="1" applyBorder="1"/>
    <xf numFmtId="164" fontId="27" fillId="0" borderId="0" xfId="0" applyNumberFormat="1" applyFont="1"/>
    <xf numFmtId="0" fontId="1" fillId="0" borderId="0" xfId="0" applyFont="1"/>
    <xf numFmtId="0" fontId="1" fillId="0" borderId="18" xfId="0" applyFont="1" applyBorder="1"/>
    <xf numFmtId="164" fontId="1" fillId="0" borderId="20" xfId="0" applyNumberFormat="1" applyFont="1" applyBorder="1"/>
    <xf numFmtId="165" fontId="0" fillId="0" borderId="0" xfId="0" applyNumberFormat="1"/>
    <xf numFmtId="165" fontId="1" fillId="0" borderId="20" xfId="0" applyNumberFormat="1" applyFont="1" applyBorder="1"/>
    <xf numFmtId="164" fontId="53" fillId="0" borderId="2" xfId="0" applyNumberFormat="1" applyFont="1" applyBorder="1" applyAlignment="1">
      <alignment horizontal="center" vertical="center"/>
    </xf>
    <xf numFmtId="164" fontId="53" fillId="0" borderId="7" xfId="0" applyNumberFormat="1" applyFont="1" applyBorder="1" applyAlignment="1">
      <alignment horizontal="center" vertical="center"/>
    </xf>
    <xf numFmtId="0" fontId="54" fillId="0" borderId="18" xfId="2" applyFont="1" applyBorder="1" applyAlignment="1">
      <alignment vertical="center"/>
    </xf>
    <xf numFmtId="165" fontId="54" fillId="0" borderId="24" xfId="0" applyNumberFormat="1" applyFont="1" applyBorder="1"/>
    <xf numFmtId="0" fontId="54" fillId="0" borderId="19" xfId="2" applyFont="1" applyBorder="1" applyAlignment="1">
      <alignment vertical="center"/>
    </xf>
    <xf numFmtId="0" fontId="54" fillId="0" borderId="26" xfId="2" applyFont="1" applyBorder="1" applyAlignment="1">
      <alignment vertical="center"/>
    </xf>
    <xf numFmtId="0" fontId="54" fillId="0" borderId="1" xfId="2" applyFont="1" applyBorder="1" applyAlignment="1">
      <alignment vertical="center"/>
    </xf>
    <xf numFmtId="0" fontId="53" fillId="0" borderId="0" xfId="2" applyFont="1" applyAlignment="1">
      <alignment horizontal="left" vertical="center"/>
    </xf>
    <xf numFmtId="0" fontId="54" fillId="0" borderId="2" xfId="2" applyFont="1" applyBorder="1" applyAlignment="1">
      <alignment horizontal="right" vertical="center"/>
    </xf>
    <xf numFmtId="0" fontId="53" fillId="0" borderId="0" xfId="0" applyFont="1"/>
    <xf numFmtId="165" fontId="55" fillId="0" borderId="0" xfId="0" applyNumberFormat="1" applyFont="1"/>
    <xf numFmtId="165" fontId="55" fillId="0" borderId="18" xfId="0" applyNumberFormat="1" applyFont="1" applyBorder="1"/>
    <xf numFmtId="165" fontId="55" fillId="0" borderId="19" xfId="0" applyNumberFormat="1" applyFont="1" applyBorder="1"/>
    <xf numFmtId="165" fontId="55" fillId="0" borderId="20" xfId="0" applyNumberFormat="1" applyFont="1" applyBorder="1"/>
    <xf numFmtId="165" fontId="53" fillId="0" borderId="1" xfId="0" applyNumberFormat="1" applyFont="1" applyBorder="1"/>
    <xf numFmtId="165" fontId="62" fillId="0" borderId="1" xfId="0" applyNumberFormat="1" applyFont="1" applyBorder="1"/>
    <xf numFmtId="165" fontId="55" fillId="0" borderId="4" xfId="0" applyNumberFormat="1" applyFont="1" applyBorder="1"/>
    <xf numFmtId="165" fontId="55" fillId="0" borderId="5" xfId="0" applyNumberFormat="1" applyFont="1" applyBorder="1" applyAlignment="1">
      <alignment horizontal="right"/>
    </xf>
    <xf numFmtId="165" fontId="55" fillId="0" borderId="5" xfId="0" applyNumberFormat="1" applyFont="1" applyBorder="1"/>
    <xf numFmtId="165" fontId="59" fillId="6" borderId="9" xfId="0" applyNumberFormat="1" applyFont="1" applyFill="1" applyBorder="1" applyAlignment="1">
      <alignment horizontal="right"/>
    </xf>
    <xf numFmtId="165" fontId="59" fillId="2" borderId="12" xfId="0" applyNumberFormat="1" applyFont="1" applyFill="1" applyBorder="1" applyAlignment="1">
      <alignment horizontal="right"/>
    </xf>
    <xf numFmtId="165" fontId="59" fillId="2" borderId="9" xfId="0" applyNumberFormat="1" applyFont="1" applyFill="1" applyBorder="1"/>
    <xf numFmtId="0" fontId="53" fillId="0" borderId="2" xfId="0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54" fillId="0" borderId="0" xfId="0" applyFont="1" applyAlignment="1">
      <alignment horizontal="center"/>
    </xf>
    <xf numFmtId="165" fontId="54" fillId="0" borderId="18" xfId="0" applyNumberFormat="1" applyFont="1" applyBorder="1" applyAlignment="1">
      <alignment horizontal="right"/>
    </xf>
    <xf numFmtId="165" fontId="54" fillId="0" borderId="19" xfId="0" applyNumberFormat="1" applyFont="1" applyBorder="1" applyAlignment="1">
      <alignment horizontal="right"/>
    </xf>
    <xf numFmtId="165" fontId="54" fillId="0" borderId="20" xfId="0" applyNumberFormat="1" applyFont="1" applyBorder="1" applyAlignment="1">
      <alignment horizontal="right"/>
    </xf>
    <xf numFmtId="165" fontId="54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3" fillId="0" borderId="2" xfId="0" applyNumberFormat="1" applyFont="1" applyBorder="1" applyAlignment="1">
      <alignment horizontal="center"/>
    </xf>
    <xf numFmtId="165" fontId="53" fillId="0" borderId="7" xfId="0" applyNumberFormat="1" applyFont="1" applyBorder="1" applyAlignment="1">
      <alignment horizontal="center"/>
    </xf>
    <xf numFmtId="165" fontId="54" fillId="0" borderId="0" xfId="2" applyNumberFormat="1" applyFont="1" applyAlignment="1">
      <alignment vertical="center"/>
    </xf>
    <xf numFmtId="165" fontId="54" fillId="0" borderId="18" xfId="2" applyNumberFormat="1" applyFont="1" applyBorder="1" applyAlignment="1">
      <alignment vertical="center"/>
    </xf>
    <xf numFmtId="165" fontId="54" fillId="0" borderId="19" xfId="2" applyNumberFormat="1" applyFont="1" applyBorder="1" applyAlignment="1">
      <alignment vertical="center"/>
    </xf>
    <xf numFmtId="165" fontId="54" fillId="0" borderId="20" xfId="2" applyNumberFormat="1" applyFont="1" applyBorder="1" applyAlignment="1">
      <alignment vertical="center"/>
    </xf>
    <xf numFmtId="165" fontId="53" fillId="0" borderId="1" xfId="2" applyNumberFormat="1" applyFont="1" applyBorder="1" applyAlignment="1">
      <alignment vertical="center"/>
    </xf>
    <xf numFmtId="165" fontId="54" fillId="0" borderId="18" xfId="2" applyNumberFormat="1" applyFont="1" applyBorder="1"/>
    <xf numFmtId="165" fontId="54" fillId="0" borderId="19" xfId="2" applyNumberFormat="1" applyFont="1" applyBorder="1"/>
    <xf numFmtId="165" fontId="54" fillId="0" borderId="20" xfId="0" applyNumberFormat="1" applyFont="1" applyBorder="1"/>
    <xf numFmtId="165" fontId="53" fillId="5" borderId="1" xfId="0" applyNumberFormat="1" applyFont="1" applyFill="1" applyBorder="1"/>
    <xf numFmtId="165" fontId="53" fillId="0" borderId="0" xfId="0" applyNumberFormat="1" applyFont="1"/>
    <xf numFmtId="165" fontId="53" fillId="2" borderId="1" xfId="2" applyNumberFormat="1" applyFont="1" applyFill="1" applyBorder="1" applyAlignment="1">
      <alignment vertical="center"/>
    </xf>
    <xf numFmtId="165" fontId="54" fillId="0" borderId="0" xfId="0" applyNumberFormat="1" applyFont="1"/>
    <xf numFmtId="164" fontId="54" fillId="0" borderId="0" xfId="0" quotePrefix="1" applyNumberFormat="1" applyFont="1"/>
    <xf numFmtId="164" fontId="53" fillId="2" borderId="1" xfId="0" applyNumberFormat="1" applyFont="1" applyFill="1" applyBorder="1"/>
    <xf numFmtId="164" fontId="53" fillId="4" borderId="8" xfId="0" applyNumberFormat="1" applyFont="1" applyFill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164" fontId="7" fillId="4" borderId="1" xfId="0" applyNumberFormat="1" applyFont="1" applyFill="1" applyBorder="1"/>
    <xf numFmtId="0" fontId="63" fillId="0" borderId="0" xfId="0" applyFont="1"/>
    <xf numFmtId="164" fontId="7" fillId="6" borderId="1" xfId="0" applyNumberFormat="1" applyFont="1" applyFill="1" applyBorder="1"/>
    <xf numFmtId="164" fontId="19" fillId="0" borderId="0" xfId="2" applyNumberFormat="1" applyFont="1" applyAlignment="1">
      <alignment vertical="center"/>
    </xf>
    <xf numFmtId="164" fontId="19" fillId="0" borderId="18" xfId="2" applyNumberFormat="1" applyFont="1" applyBorder="1" applyAlignment="1">
      <alignment vertical="center"/>
    </xf>
    <xf numFmtId="164" fontId="19" fillId="0" borderId="19" xfId="2" applyNumberFormat="1" applyFont="1" applyBorder="1" applyAlignment="1">
      <alignment vertical="center"/>
    </xf>
    <xf numFmtId="164" fontId="19" fillId="0" borderId="20" xfId="2" applyNumberFormat="1" applyFont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9" fillId="0" borderId="18" xfId="2" applyNumberFormat="1" applyFont="1" applyBorder="1"/>
    <xf numFmtId="164" fontId="19" fillId="0" borderId="19" xfId="2" applyNumberFormat="1" applyFont="1" applyBorder="1"/>
    <xf numFmtId="164" fontId="7" fillId="8" borderId="8" xfId="2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4" fontId="7" fillId="2" borderId="1" xfId="2" applyNumberFormat="1" applyFont="1" applyFill="1" applyBorder="1"/>
    <xf numFmtId="164" fontId="19" fillId="0" borderId="0" xfId="0" applyNumberFormat="1" applyFont="1" applyAlignment="1">
      <alignment horizontal="right"/>
    </xf>
    <xf numFmtId="164" fontId="19" fillId="0" borderId="1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64" fontId="19" fillId="0" borderId="0" xfId="0" quotePrefix="1" applyNumberFormat="1" applyFont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19" fillId="0" borderId="26" xfId="0" applyNumberFormat="1" applyFont="1" applyBorder="1"/>
    <xf numFmtId="164" fontId="19" fillId="0" borderId="19" xfId="0" quotePrefix="1" applyNumberFormat="1" applyFont="1" applyBorder="1" applyAlignment="1">
      <alignment horizontal="right"/>
    </xf>
    <xf numFmtId="164" fontId="19" fillId="0" borderId="24" xfId="0" applyNumberFormat="1" applyFont="1" applyBorder="1"/>
    <xf numFmtId="164" fontId="7" fillId="0" borderId="0" xfId="0" applyNumberFormat="1" applyFont="1" applyAlignment="1">
      <alignment horizontal="left"/>
    </xf>
    <xf numFmtId="164" fontId="19" fillId="0" borderId="18" xfId="0" quotePrefix="1" applyNumberFormat="1" applyFont="1" applyBorder="1" applyAlignment="1">
      <alignment horizontal="right"/>
    </xf>
    <xf numFmtId="164" fontId="19" fillId="0" borderId="20" xfId="0" quotePrefix="1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164" fontId="19" fillId="0" borderId="3" xfId="0" applyNumberFormat="1" applyFont="1" applyBorder="1"/>
    <xf numFmtId="164" fontId="19" fillId="0" borderId="14" xfId="0" applyNumberFormat="1" applyFont="1" applyBorder="1"/>
    <xf numFmtId="164" fontId="19" fillId="0" borderId="8" xfId="0" applyNumberFormat="1" applyFont="1" applyBorder="1"/>
    <xf numFmtId="164" fontId="64" fillId="2" borderId="9" xfId="0" applyNumberFormat="1" applyFont="1" applyFill="1" applyBorder="1" applyAlignment="1">
      <alignment horizontal="right"/>
    </xf>
    <xf numFmtId="164" fontId="63" fillId="0" borderId="0" xfId="0" applyNumberFormat="1" applyFont="1"/>
    <xf numFmtId="0" fontId="19" fillId="0" borderId="0" xfId="2" applyFont="1" applyAlignment="1">
      <alignment vertical="center"/>
    </xf>
    <xf numFmtId="164" fontId="19" fillId="0" borderId="24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26" xfId="2" applyNumberFormat="1" applyFont="1" applyBorder="1" applyAlignment="1">
      <alignment vertical="center"/>
    </xf>
    <xf numFmtId="164" fontId="7" fillId="0" borderId="0" xfId="2" applyNumberFormat="1" applyFont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7" fillId="6" borderId="1" xfId="2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left"/>
    </xf>
    <xf numFmtId="164" fontId="19" fillId="0" borderId="4" xfId="0" quotePrefix="1" applyNumberFormat="1" applyFont="1" applyBorder="1" applyAlignment="1">
      <alignment horizontal="right"/>
    </xf>
    <xf numFmtId="165" fontId="54" fillId="0" borderId="4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164" fontId="51" fillId="0" borderId="4" xfId="0" quotePrefix="1" applyNumberFormat="1" applyFont="1" applyBorder="1" applyAlignment="1">
      <alignment horizontal="right"/>
    </xf>
    <xf numFmtId="164" fontId="33" fillId="0" borderId="4" xfId="0" applyNumberFormat="1" applyFont="1" applyBorder="1" applyAlignment="1">
      <alignment horizontal="left"/>
    </xf>
    <xf numFmtId="164" fontId="64" fillId="6" borderId="1" xfId="0" applyNumberFormat="1" applyFont="1" applyFill="1" applyBorder="1" applyAlignment="1">
      <alignment horizontal="right"/>
    </xf>
    <xf numFmtId="0" fontId="3" fillId="0" borderId="6" xfId="2" applyFont="1" applyBorder="1" applyAlignment="1">
      <alignment horizontal="center" vertical="center"/>
    </xf>
    <xf numFmtId="1" fontId="0" fillId="0" borderId="0" xfId="0" applyNumberFormat="1"/>
    <xf numFmtId="1" fontId="10" fillId="0" borderId="0" xfId="0" applyNumberFormat="1" applyFont="1"/>
    <xf numFmtId="1" fontId="26" fillId="0" borderId="0" xfId="0" applyNumberFormat="1" applyFont="1"/>
    <xf numFmtId="1" fontId="13" fillId="0" borderId="3" xfId="0" applyNumberFormat="1" applyFont="1" applyBorder="1"/>
    <xf numFmtId="1" fontId="10" fillId="0" borderId="0" xfId="0" applyNumberFormat="1" applyFont="1" applyAlignment="1">
      <alignment horizontal="left"/>
    </xf>
    <xf numFmtId="1" fontId="27" fillId="0" borderId="0" xfId="0" applyNumberFormat="1" applyFont="1"/>
    <xf numFmtId="164" fontId="69" fillId="0" borderId="2" xfId="0" applyNumberFormat="1" applyFont="1" applyBorder="1" applyAlignment="1">
      <alignment horizontal="center" vertical="center"/>
    </xf>
    <xf numFmtId="164" fontId="69" fillId="0" borderId="7" xfId="0" applyNumberFormat="1" applyFont="1" applyBorder="1" applyAlignment="1">
      <alignment horizontal="center" vertical="center"/>
    </xf>
    <xf numFmtId="164" fontId="70" fillId="0" borderId="1" xfId="0" applyNumberFormat="1" applyFont="1" applyBorder="1"/>
    <xf numFmtId="164" fontId="70" fillId="0" borderId="0" xfId="0" applyNumberFormat="1" applyFont="1"/>
    <xf numFmtId="164" fontId="69" fillId="0" borderId="27" xfId="0" applyNumberFormat="1" applyFont="1" applyBorder="1" applyAlignment="1">
      <alignment horizontal="center" vertical="center"/>
    </xf>
    <xf numFmtId="164" fontId="69" fillId="0" borderId="5" xfId="0" applyNumberFormat="1" applyFont="1" applyBorder="1" applyAlignment="1">
      <alignment horizontal="center" vertical="center"/>
    </xf>
    <xf numFmtId="0" fontId="70" fillId="0" borderId="0" xfId="2" applyFont="1" applyAlignment="1">
      <alignment vertical="center"/>
    </xf>
    <xf numFmtId="0" fontId="70" fillId="0" borderId="0" xfId="0" applyFont="1"/>
    <xf numFmtId="164" fontId="69" fillId="0" borderId="0" xfId="0" applyNumberFormat="1" applyFont="1"/>
    <xf numFmtId="164" fontId="69" fillId="2" borderId="1" xfId="0" applyNumberFormat="1" applyFont="1" applyFill="1" applyBorder="1"/>
    <xf numFmtId="0" fontId="65" fillId="0" borderId="0" xfId="0" applyFont="1"/>
    <xf numFmtId="164" fontId="69" fillId="0" borderId="1" xfId="0" applyNumberFormat="1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0" fillId="7" borderId="0" xfId="0" applyFill="1"/>
    <xf numFmtId="0" fontId="0" fillId="7" borderId="4" xfId="0" applyFill="1" applyBorder="1"/>
    <xf numFmtId="0" fontId="10" fillId="7" borderId="4" xfId="0" applyFont="1" applyFill="1" applyBorder="1"/>
    <xf numFmtId="0" fontId="10" fillId="7" borderId="16" xfId="0" applyFont="1" applyFill="1" applyBorder="1"/>
    <xf numFmtId="0" fontId="10" fillId="7" borderId="5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center"/>
    </xf>
    <xf numFmtId="0" fontId="28" fillId="7" borderId="11" xfId="0" applyFont="1" applyFill="1" applyBorder="1" applyAlignment="1">
      <alignment horizontal="left"/>
    </xf>
    <xf numFmtId="0" fontId="66" fillId="0" borderId="0" xfId="0" applyFont="1"/>
    <xf numFmtId="165" fontId="71" fillId="2" borderId="1" xfId="0" applyNumberFormat="1" applyFont="1" applyFill="1" applyBorder="1" applyAlignment="1">
      <alignment horizontal="right"/>
    </xf>
    <xf numFmtId="164" fontId="73" fillId="0" borderId="6" xfId="2" applyNumberFormat="1" applyFont="1" applyBorder="1" applyAlignment="1">
      <alignment horizontal="center" vertical="center"/>
    </xf>
    <xf numFmtId="164" fontId="69" fillId="0" borderId="0" xfId="2" applyNumberFormat="1" applyFont="1" applyAlignment="1">
      <alignment horizontal="center" vertical="center"/>
    </xf>
    <xf numFmtId="164" fontId="69" fillId="2" borderId="5" xfId="0" applyNumberFormat="1" applyFont="1" applyFill="1" applyBorder="1" applyAlignment="1">
      <alignment horizontal="center" vertical="center"/>
    </xf>
    <xf numFmtId="164" fontId="65" fillId="0" borderId="0" xfId="0" applyNumberFormat="1" applyFont="1"/>
    <xf numFmtId="0" fontId="73" fillId="0" borderId="6" xfId="2" applyFont="1" applyBorder="1" applyAlignment="1">
      <alignment horizontal="left" vertical="center"/>
    </xf>
    <xf numFmtId="0" fontId="69" fillId="0" borderId="0" xfId="2" applyFont="1" applyAlignment="1">
      <alignment horizontal="center" vertical="center"/>
    </xf>
    <xf numFmtId="165" fontId="70" fillId="0" borderId="24" xfId="0" applyNumberFormat="1" applyFont="1" applyBorder="1"/>
    <xf numFmtId="165" fontId="69" fillId="0" borderId="8" xfId="2" applyNumberFormat="1" applyFont="1" applyBorder="1" applyAlignment="1">
      <alignment horizontal="right" vertical="center"/>
    </xf>
    <xf numFmtId="164" fontId="19" fillId="7" borderId="0" xfId="2" applyNumberFormat="1" applyFont="1" applyFill="1"/>
    <xf numFmtId="165" fontId="69" fillId="2" borderId="1" xfId="2" applyNumberFormat="1" applyFont="1" applyFill="1" applyBorder="1"/>
    <xf numFmtId="0" fontId="73" fillId="0" borderId="6" xfId="0" applyFont="1" applyBorder="1" applyAlignment="1">
      <alignment horizontal="left"/>
    </xf>
    <xf numFmtId="0" fontId="69" fillId="0" borderId="1" xfId="0" applyFont="1" applyBorder="1" applyAlignment="1">
      <alignment horizontal="center" vertical="center"/>
    </xf>
    <xf numFmtId="165" fontId="70" fillId="0" borderId="0" xfId="0" applyNumberFormat="1" applyFont="1"/>
    <xf numFmtId="165" fontId="69" fillId="0" borderId="0" xfId="0" applyNumberFormat="1" applyFont="1" applyAlignment="1">
      <alignment horizontal="left"/>
    </xf>
    <xf numFmtId="165" fontId="70" fillId="0" borderId="20" xfId="0" applyNumberFormat="1" applyFont="1" applyBorder="1"/>
    <xf numFmtId="0" fontId="74" fillId="0" borderId="0" xfId="0" applyFont="1"/>
    <xf numFmtId="1" fontId="1" fillId="0" borderId="0" xfId="0" applyNumberFormat="1" applyFont="1"/>
    <xf numFmtId="165" fontId="69" fillId="2" borderId="8" xfId="0" applyNumberFormat="1" applyFont="1" applyFill="1" applyBorder="1" applyAlignment="1">
      <alignment horizontal="right"/>
    </xf>
    <xf numFmtId="0" fontId="1" fillId="0" borderId="19" xfId="2" applyFont="1" applyBorder="1" applyAlignment="1">
      <alignment horizontal="left" vertical="center"/>
    </xf>
    <xf numFmtId="164" fontId="69" fillId="0" borderId="0" xfId="0" applyNumberFormat="1" applyFont="1" applyAlignment="1">
      <alignment horizontal="center"/>
    </xf>
    <xf numFmtId="164" fontId="70" fillId="0" borderId="0" xfId="0" applyNumberFormat="1" applyFont="1" applyAlignment="1">
      <alignment vertical="top" wrapText="1"/>
    </xf>
    <xf numFmtId="164" fontId="70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164" fontId="75" fillId="0" borderId="0" xfId="0" applyNumberFormat="1" applyFont="1" applyAlignment="1">
      <alignment horizontal="right" vertical="center" wrapText="1"/>
    </xf>
    <xf numFmtId="164" fontId="69" fillId="2" borderId="8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5" fontId="70" fillId="0" borderId="0" xfId="2" applyNumberFormat="1" applyFont="1" applyAlignment="1">
      <alignment vertical="center"/>
    </xf>
    <xf numFmtId="165" fontId="70" fillId="0" borderId="1" xfId="2" applyNumberFormat="1" applyFont="1" applyBorder="1" applyAlignment="1">
      <alignment vertical="center"/>
    </xf>
    <xf numFmtId="165" fontId="70" fillId="0" borderId="18" xfId="2" applyNumberFormat="1" applyFont="1" applyBorder="1" applyAlignment="1">
      <alignment vertical="center"/>
    </xf>
    <xf numFmtId="165" fontId="70" fillId="0" borderId="19" xfId="2" applyNumberFormat="1" applyFont="1" applyBorder="1" applyAlignment="1">
      <alignment vertical="center"/>
    </xf>
    <xf numFmtId="165" fontId="70" fillId="0" borderId="26" xfId="2" applyNumberFormat="1" applyFont="1" applyBorder="1" applyAlignment="1">
      <alignment vertical="center"/>
    </xf>
    <xf numFmtId="165" fontId="69" fillId="0" borderId="0" xfId="0" applyNumberFormat="1" applyFont="1"/>
    <xf numFmtId="165" fontId="69" fillId="0" borderId="8" xfId="0" applyNumberFormat="1" applyFont="1" applyBorder="1" applyAlignment="1">
      <alignment horizontal="right"/>
    </xf>
    <xf numFmtId="165" fontId="70" fillId="0" borderId="1" xfId="0" applyNumberFormat="1" applyFont="1" applyBorder="1"/>
    <xf numFmtId="165" fontId="19" fillId="0" borderId="1" xfId="0" applyNumberFormat="1" applyFont="1" applyBorder="1"/>
    <xf numFmtId="165" fontId="54" fillId="0" borderId="1" xfId="0" applyNumberFormat="1" applyFont="1" applyBorder="1"/>
    <xf numFmtId="165" fontId="38" fillId="0" borderId="1" xfId="0" applyNumberFormat="1" applyFont="1" applyBorder="1"/>
    <xf numFmtId="165" fontId="35" fillId="0" borderId="1" xfId="0" applyNumberFormat="1" applyFont="1" applyBorder="1"/>
    <xf numFmtId="165" fontId="33" fillId="0" borderId="1" xfId="0" applyNumberFormat="1" applyFont="1" applyBorder="1"/>
    <xf numFmtId="165" fontId="7" fillId="0" borderId="1" xfId="0" applyNumberFormat="1" applyFont="1" applyBorder="1"/>
    <xf numFmtId="165" fontId="37" fillId="0" borderId="1" xfId="0" applyNumberFormat="1" applyFont="1" applyBorder="1"/>
    <xf numFmtId="165" fontId="36" fillId="0" borderId="1" xfId="0" applyNumberFormat="1" applyFont="1" applyBorder="1"/>
    <xf numFmtId="165" fontId="32" fillId="0" borderId="1" xfId="0" applyNumberFormat="1" applyFont="1" applyBorder="1"/>
    <xf numFmtId="165" fontId="65" fillId="0" borderId="0" xfId="0" applyNumberFormat="1" applyFont="1"/>
    <xf numFmtId="165" fontId="19" fillId="0" borderId="0" xfId="0" applyNumberFormat="1" applyFont="1"/>
    <xf numFmtId="165" fontId="39" fillId="0" borderId="0" xfId="0" applyNumberFormat="1" applyFont="1"/>
    <xf numFmtId="165" fontId="44" fillId="0" borderId="0" xfId="0" applyNumberFormat="1" applyFont="1"/>
    <xf numFmtId="165" fontId="31" fillId="0" borderId="0" xfId="0" applyNumberFormat="1" applyFont="1"/>
    <xf numFmtId="165" fontId="70" fillId="0" borderId="18" xfId="0" applyNumberFormat="1" applyFont="1" applyBorder="1" applyAlignment="1">
      <alignment horizontal="right"/>
    </xf>
    <xf numFmtId="165" fontId="19" fillId="0" borderId="18" xfId="0" applyNumberFormat="1" applyFont="1" applyBorder="1"/>
    <xf numFmtId="165" fontId="54" fillId="0" borderId="18" xfId="0" applyNumberFormat="1" applyFont="1" applyBorder="1"/>
    <xf numFmtId="165" fontId="38" fillId="0" borderId="18" xfId="0" applyNumberFormat="1" applyFont="1" applyBorder="1"/>
    <xf numFmtId="165" fontId="35" fillId="0" borderId="18" xfId="0" applyNumberFormat="1" applyFont="1" applyBorder="1"/>
    <xf numFmtId="165" fontId="33" fillId="0" borderId="18" xfId="0" applyNumberFormat="1" applyFont="1" applyBorder="1"/>
    <xf numFmtId="165" fontId="70" fillId="0" borderId="4" xfId="0" applyNumberFormat="1" applyFont="1" applyBorder="1" applyAlignment="1">
      <alignment horizontal="right"/>
    </xf>
    <xf numFmtId="165" fontId="19" fillId="0" borderId="4" xfId="0" applyNumberFormat="1" applyFont="1" applyBorder="1"/>
    <xf numFmtId="165" fontId="54" fillId="0" borderId="4" xfId="0" applyNumberFormat="1" applyFont="1" applyBorder="1"/>
    <xf numFmtId="165" fontId="38" fillId="0" borderId="4" xfId="0" applyNumberFormat="1" applyFont="1" applyBorder="1"/>
    <xf numFmtId="165" fontId="35" fillId="0" borderId="4" xfId="0" applyNumberFormat="1" applyFont="1" applyBorder="1"/>
    <xf numFmtId="165" fontId="33" fillId="0" borderId="4" xfId="0" applyNumberFormat="1" applyFont="1" applyBorder="1"/>
    <xf numFmtId="165" fontId="70" fillId="0" borderId="20" xfId="0" applyNumberFormat="1" applyFont="1" applyBorder="1" applyAlignment="1">
      <alignment horizontal="right"/>
    </xf>
    <xf numFmtId="165" fontId="19" fillId="0" borderId="20" xfId="0" applyNumberFormat="1" applyFont="1" applyBorder="1"/>
    <xf numFmtId="165" fontId="38" fillId="0" borderId="20" xfId="0" applyNumberFormat="1" applyFont="1" applyBorder="1"/>
    <xf numFmtId="165" fontId="35" fillId="0" borderId="20" xfId="0" applyNumberFormat="1" applyFont="1" applyBorder="1"/>
    <xf numFmtId="165" fontId="33" fillId="0" borderId="20" xfId="0" applyNumberFormat="1" applyFont="1" applyBorder="1"/>
    <xf numFmtId="165" fontId="70" fillId="0" borderId="0" xfId="0" applyNumberFormat="1" applyFont="1" applyAlignment="1">
      <alignment horizontal="right"/>
    </xf>
    <xf numFmtId="165" fontId="38" fillId="0" borderId="0" xfId="0" applyNumberFormat="1" applyFont="1"/>
    <xf numFmtId="165" fontId="35" fillId="0" borderId="0" xfId="0" applyNumberFormat="1" applyFont="1"/>
    <xf numFmtId="165" fontId="33" fillId="0" borderId="0" xfId="0" applyNumberFormat="1" applyFont="1"/>
    <xf numFmtId="165" fontId="70" fillId="0" borderId="19" xfId="0" applyNumberFormat="1" applyFont="1" applyBorder="1" applyAlignment="1">
      <alignment horizontal="right"/>
    </xf>
    <xf numFmtId="165" fontId="19" fillId="0" borderId="19" xfId="0" applyNumberFormat="1" applyFont="1" applyBorder="1"/>
    <xf numFmtId="165" fontId="54" fillId="0" borderId="19" xfId="0" applyNumberFormat="1" applyFont="1" applyBorder="1"/>
    <xf numFmtId="165" fontId="38" fillId="0" borderId="19" xfId="0" applyNumberFormat="1" applyFont="1" applyBorder="1"/>
    <xf numFmtId="165" fontId="35" fillId="0" borderId="19" xfId="0" applyNumberFormat="1" applyFont="1" applyBorder="1"/>
    <xf numFmtId="165" fontId="33" fillId="0" borderId="19" xfId="0" applyNumberFormat="1" applyFont="1" applyBorder="1"/>
    <xf numFmtId="165" fontId="70" fillId="0" borderId="26" xfId="0" applyNumberFormat="1" applyFont="1" applyBorder="1" applyAlignment="1">
      <alignment horizontal="right"/>
    </xf>
    <xf numFmtId="165" fontId="70" fillId="0" borderId="1" xfId="0" applyNumberFormat="1" applyFont="1" applyBorder="1" applyAlignment="1">
      <alignment horizontal="right"/>
    </xf>
    <xf numFmtId="165" fontId="65" fillId="0" borderId="0" xfId="0" applyNumberFormat="1" applyFont="1" applyAlignment="1">
      <alignment horizontal="right"/>
    </xf>
    <xf numFmtId="165" fontId="19" fillId="0" borderId="18" xfId="0" quotePrefix="1" applyNumberFormat="1" applyFont="1" applyBorder="1"/>
    <xf numFmtId="165" fontId="54" fillId="0" borderId="18" xfId="0" quotePrefix="1" applyNumberFormat="1" applyFont="1" applyBorder="1"/>
    <xf numFmtId="165" fontId="38" fillId="0" borderId="18" xfId="0" quotePrefix="1" applyNumberFormat="1" applyFont="1" applyBorder="1"/>
    <xf numFmtId="165" fontId="35" fillId="0" borderId="18" xfId="0" quotePrefix="1" applyNumberFormat="1" applyFont="1" applyBorder="1"/>
    <xf numFmtId="165" fontId="33" fillId="0" borderId="18" xfId="0" quotePrefix="1" applyNumberFormat="1" applyFont="1" applyBorder="1"/>
    <xf numFmtId="165" fontId="19" fillId="0" borderId="20" xfId="0" quotePrefix="1" applyNumberFormat="1" applyFont="1" applyBorder="1"/>
    <xf numFmtId="165" fontId="54" fillId="0" borderId="20" xfId="0" quotePrefix="1" applyNumberFormat="1" applyFont="1" applyBorder="1"/>
    <xf numFmtId="165" fontId="38" fillId="0" borderId="20" xfId="0" quotePrefix="1" applyNumberFormat="1" applyFont="1" applyBorder="1"/>
    <xf numFmtId="165" fontId="35" fillId="0" borderId="20" xfId="0" quotePrefix="1" applyNumberFormat="1" applyFont="1" applyBorder="1"/>
    <xf numFmtId="165" fontId="33" fillId="0" borderId="20" xfId="0" quotePrefix="1" applyNumberFormat="1" applyFont="1" applyBorder="1"/>
    <xf numFmtId="165" fontId="37" fillId="0" borderId="1" xfId="0" applyNumberFormat="1" applyFont="1" applyBorder="1" applyAlignment="1">
      <alignment horizontal="right"/>
    </xf>
    <xf numFmtId="165" fontId="36" fillId="0" borderId="1" xfId="0" applyNumberFormat="1" applyFont="1" applyBorder="1" applyAlignment="1">
      <alignment horizontal="right"/>
    </xf>
    <xf numFmtId="165" fontId="69" fillId="4" borderId="1" xfId="0" applyNumberFormat="1" applyFont="1" applyFill="1" applyBorder="1"/>
    <xf numFmtId="165" fontId="65" fillId="0" borderId="5" xfId="0" applyNumberFormat="1" applyFont="1" applyBorder="1"/>
    <xf numFmtId="165" fontId="72" fillId="6" borderId="1" xfId="0" applyNumberFormat="1" applyFont="1" applyFill="1" applyBorder="1"/>
    <xf numFmtId="165" fontId="69" fillId="8" borderId="8" xfId="2" applyNumberFormat="1" applyFont="1" applyFill="1" applyBorder="1" applyAlignment="1">
      <alignment horizontal="right" vertical="center"/>
    </xf>
    <xf numFmtId="0" fontId="69" fillId="0" borderId="5" xfId="0" applyFont="1" applyBorder="1" applyAlignment="1">
      <alignment horizontal="center" vertical="center"/>
    </xf>
    <xf numFmtId="165" fontId="70" fillId="0" borderId="18" xfId="0" applyNumberFormat="1" applyFont="1" applyBorder="1"/>
    <xf numFmtId="165" fontId="70" fillId="0" borderId="19" xfId="0" applyNumberFormat="1" applyFont="1" applyBorder="1"/>
    <xf numFmtId="165" fontId="69" fillId="4" borderId="8" xfId="0" applyNumberFormat="1" applyFont="1" applyFill="1" applyBorder="1" applyAlignment="1">
      <alignment horizontal="right"/>
    </xf>
    <xf numFmtId="0" fontId="69" fillId="0" borderId="0" xfId="0" applyFont="1"/>
    <xf numFmtId="164" fontId="0" fillId="0" borderId="1" xfId="0" applyNumberFormat="1" applyBorder="1"/>
    <xf numFmtId="165" fontId="39" fillId="0" borderId="1" xfId="0" applyNumberFormat="1" applyFont="1" applyBorder="1"/>
    <xf numFmtId="165" fontId="44" fillId="0" borderId="1" xfId="0" applyNumberFormat="1" applyFont="1" applyBorder="1"/>
    <xf numFmtId="165" fontId="31" fillId="0" borderId="1" xfId="0" applyNumberFormat="1" applyFont="1" applyBorder="1"/>
    <xf numFmtId="164" fontId="66" fillId="0" borderId="0" xfId="0" applyNumberFormat="1" applyFont="1"/>
    <xf numFmtId="165" fontId="72" fillId="0" borderId="1" xfId="0" applyNumberFormat="1" applyFont="1" applyBorder="1" applyAlignment="1">
      <alignment horizontal="right"/>
    </xf>
    <xf numFmtId="165" fontId="32" fillId="0" borderId="1" xfId="2" applyNumberFormat="1" applyFont="1" applyBorder="1" applyAlignment="1">
      <alignment vertical="center"/>
    </xf>
    <xf numFmtId="164" fontId="70" fillId="8" borderId="1" xfId="0" applyNumberFormat="1" applyFont="1" applyFill="1" applyBorder="1"/>
    <xf numFmtId="164" fontId="1" fillId="7" borderId="1" xfId="0" applyNumberFormat="1" applyFont="1" applyFill="1" applyBorder="1"/>
    <xf numFmtId="164" fontId="70" fillId="7" borderId="1" xfId="0" applyNumberFormat="1" applyFont="1" applyFill="1" applyBorder="1"/>
    <xf numFmtId="0" fontId="1" fillId="0" borderId="19" xfId="0" applyFont="1" applyBorder="1"/>
    <xf numFmtId="0" fontId="3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right"/>
    </xf>
    <xf numFmtId="0" fontId="77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right"/>
    </xf>
    <xf numFmtId="164" fontId="77" fillId="0" borderId="1" xfId="0" applyNumberFormat="1" applyFont="1" applyBorder="1" applyAlignment="1">
      <alignment horizontal="center"/>
    </xf>
    <xf numFmtId="0" fontId="1" fillId="0" borderId="18" xfId="2" applyFont="1" applyBorder="1"/>
    <xf numFmtId="0" fontId="0" fillId="0" borderId="10" xfId="0" applyBorder="1"/>
    <xf numFmtId="164" fontId="19" fillId="0" borderId="7" xfId="0" applyNumberFormat="1" applyFont="1" applyBorder="1"/>
    <xf numFmtId="165" fontId="55" fillId="0" borderId="7" xfId="0" applyNumberFormat="1" applyFont="1" applyBorder="1"/>
    <xf numFmtId="164" fontId="8" fillId="0" borderId="10" xfId="0" applyNumberFormat="1" applyFont="1" applyBorder="1"/>
    <xf numFmtId="164" fontId="8" fillId="0" borderId="7" xfId="0" applyNumberFormat="1" applyFont="1" applyBorder="1"/>
    <xf numFmtId="164" fontId="51" fillId="0" borderId="7" xfId="0" applyNumberFormat="1" applyFont="1" applyBorder="1"/>
    <xf numFmtId="164" fontId="31" fillId="0" borderId="7" xfId="0" applyNumberFormat="1" applyFont="1" applyBorder="1" applyAlignment="1">
      <alignment horizontal="right"/>
    </xf>
    <xf numFmtId="164" fontId="31" fillId="0" borderId="7" xfId="0" applyNumberFormat="1" applyFont="1" applyBorder="1"/>
    <xf numFmtId="164" fontId="77" fillId="2" borderId="1" xfId="0" applyNumberFormat="1" applyFont="1" applyFill="1" applyBorder="1"/>
    <xf numFmtId="165" fontId="32" fillId="0" borderId="8" xfId="2" applyNumberFormat="1" applyFont="1" applyBorder="1" applyAlignment="1">
      <alignment horizontal="right" vertical="center"/>
    </xf>
    <xf numFmtId="165" fontId="77" fillId="0" borderId="8" xfId="2" applyNumberFormat="1" applyFont="1" applyBorder="1" applyAlignment="1">
      <alignment horizontal="right" vertical="center"/>
    </xf>
    <xf numFmtId="165" fontId="32" fillId="2" borderId="1" xfId="2" applyNumberFormat="1" applyFont="1" applyFill="1" applyBorder="1"/>
    <xf numFmtId="165" fontId="77" fillId="2" borderId="1" xfId="2" applyNumberFormat="1" applyFont="1" applyFill="1" applyBorder="1"/>
    <xf numFmtId="165" fontId="32" fillId="4" borderId="1" xfId="0" applyNumberFormat="1" applyFont="1" applyFill="1" applyBorder="1"/>
    <xf numFmtId="165" fontId="77" fillId="4" borderId="1" xfId="0" applyNumberFormat="1" applyFont="1" applyFill="1" applyBorder="1"/>
    <xf numFmtId="165" fontId="65" fillId="0" borderId="1" xfId="0" applyNumberFormat="1" applyFont="1" applyBorder="1"/>
    <xf numFmtId="165" fontId="72" fillId="0" borderId="1" xfId="0" applyNumberFormat="1" applyFont="1" applyBorder="1"/>
    <xf numFmtId="165" fontId="65" fillId="0" borderId="4" xfId="0" applyNumberFormat="1" applyFont="1" applyBorder="1"/>
    <xf numFmtId="165" fontId="69" fillId="0" borderId="1" xfId="0" applyNumberFormat="1" applyFont="1" applyBorder="1" applyAlignment="1">
      <alignment horizontal="right"/>
    </xf>
    <xf numFmtId="0" fontId="0" fillId="0" borderId="1" xfId="0" applyBorder="1"/>
    <xf numFmtId="0" fontId="31" fillId="0" borderId="1" xfId="0" applyFont="1" applyBorder="1"/>
    <xf numFmtId="165" fontId="41" fillId="0" borderId="1" xfId="0" applyNumberFormat="1" applyFont="1" applyBorder="1"/>
    <xf numFmtId="165" fontId="42" fillId="2" borderId="1" xfId="0" applyNumberFormat="1" applyFont="1" applyFill="1" applyBorder="1" applyAlignment="1">
      <alignment horizontal="right"/>
    </xf>
    <xf numFmtId="165" fontId="41" fillId="6" borderId="1" xfId="0" applyNumberFormat="1" applyFont="1" applyFill="1" applyBorder="1"/>
    <xf numFmtId="165" fontId="79" fillId="0" borderId="1" xfId="0" applyNumberFormat="1" applyFont="1" applyBorder="1"/>
    <xf numFmtId="165" fontId="80" fillId="0" borderId="1" xfId="0" applyNumberFormat="1" applyFont="1" applyBorder="1"/>
    <xf numFmtId="0" fontId="79" fillId="0" borderId="0" xfId="0" applyFont="1"/>
    <xf numFmtId="165" fontId="77" fillId="0" borderId="1" xfId="0" applyNumberFormat="1" applyFont="1" applyBorder="1" applyAlignment="1">
      <alignment horizontal="right"/>
    </xf>
    <xf numFmtId="165" fontId="81" fillId="2" borderId="1" xfId="0" applyNumberFormat="1" applyFont="1" applyFill="1" applyBorder="1" applyAlignment="1">
      <alignment horizontal="right"/>
    </xf>
    <xf numFmtId="165" fontId="80" fillId="6" borderId="1" xfId="0" applyNumberFormat="1" applyFont="1" applyFill="1" applyBorder="1"/>
    <xf numFmtId="165" fontId="70" fillId="0" borderId="21" xfId="0" applyNumberFormat="1" applyFont="1" applyBorder="1"/>
    <xf numFmtId="165" fontId="70" fillId="0" borderId="22" xfId="0" applyNumberFormat="1" applyFont="1" applyBorder="1"/>
    <xf numFmtId="165" fontId="70" fillId="0" borderId="31" xfId="0" applyNumberFormat="1" applyFont="1" applyBorder="1"/>
    <xf numFmtId="165" fontId="70" fillId="0" borderId="23" xfId="0" applyNumberFormat="1" applyFont="1" applyBorder="1"/>
    <xf numFmtId="165" fontId="69" fillId="0" borderId="14" xfId="0" applyNumberFormat="1" applyFont="1" applyBorder="1" applyAlignment="1">
      <alignment horizontal="right"/>
    </xf>
    <xf numFmtId="165" fontId="69" fillId="0" borderId="14" xfId="0" applyNumberFormat="1" applyFont="1" applyBorder="1"/>
    <xf numFmtId="166" fontId="70" fillId="0" borderId="18" xfId="0" applyNumberFormat="1" applyFont="1" applyBorder="1" applyAlignment="1">
      <alignment horizontal="right"/>
    </xf>
    <xf numFmtId="0" fontId="70" fillId="0" borderId="4" xfId="0" applyFont="1" applyBorder="1" applyAlignment="1">
      <alignment horizontal="right"/>
    </xf>
    <xf numFmtId="165" fontId="33" fillId="0" borderId="1" xfId="0" applyNumberFormat="1" applyFont="1" applyBorder="1" applyAlignment="1">
      <alignment horizontal="right"/>
    </xf>
    <xf numFmtId="165" fontId="32" fillId="0" borderId="14" xfId="0" applyNumberFormat="1" applyFont="1" applyBorder="1" applyAlignment="1">
      <alignment horizontal="right"/>
    </xf>
    <xf numFmtId="165" fontId="33" fillId="0" borderId="21" xfId="0" applyNumberFormat="1" applyFont="1" applyBorder="1" applyAlignment="1">
      <alignment horizontal="right"/>
    </xf>
    <xf numFmtId="165" fontId="33" fillId="0" borderId="22" xfId="0" applyNumberFormat="1" applyFont="1" applyBorder="1" applyAlignment="1">
      <alignment horizontal="right"/>
    </xf>
    <xf numFmtId="165" fontId="32" fillId="0" borderId="14" xfId="0" applyNumberFormat="1" applyFont="1" applyBorder="1"/>
    <xf numFmtId="165" fontId="33" fillId="0" borderId="18" xfId="0" applyNumberFormat="1" applyFont="1" applyBorder="1" applyAlignment="1">
      <alignment horizontal="right"/>
    </xf>
    <xf numFmtId="165" fontId="33" fillId="0" borderId="4" xfId="0" applyNumberFormat="1" applyFont="1" applyBorder="1" applyAlignment="1">
      <alignment horizontal="right"/>
    </xf>
    <xf numFmtId="165" fontId="33" fillId="0" borderId="20" xfId="0" applyNumberFormat="1" applyFont="1" applyBorder="1" applyAlignment="1">
      <alignment horizontal="right"/>
    </xf>
    <xf numFmtId="165" fontId="78" fillId="0" borderId="1" xfId="0" applyNumberFormat="1" applyFont="1" applyBorder="1" applyAlignment="1">
      <alignment horizontal="right"/>
    </xf>
    <xf numFmtId="165" fontId="77" fillId="0" borderId="14" xfId="0" applyNumberFormat="1" applyFont="1" applyBorder="1" applyAlignment="1">
      <alignment horizontal="right"/>
    </xf>
    <xf numFmtId="165" fontId="78" fillId="0" borderId="0" xfId="0" applyNumberFormat="1" applyFont="1" applyAlignment="1">
      <alignment horizontal="right"/>
    </xf>
    <xf numFmtId="165" fontId="78" fillId="0" borderId="21" xfId="0" applyNumberFormat="1" applyFont="1" applyBorder="1" applyAlignment="1">
      <alignment horizontal="right"/>
    </xf>
    <xf numFmtId="165" fontId="78" fillId="0" borderId="22" xfId="0" applyNumberFormat="1" applyFont="1" applyBorder="1" applyAlignment="1">
      <alignment horizontal="right"/>
    </xf>
    <xf numFmtId="165" fontId="77" fillId="0" borderId="14" xfId="0" applyNumberFormat="1" applyFont="1" applyBorder="1"/>
    <xf numFmtId="165" fontId="77" fillId="0" borderId="0" xfId="0" applyNumberFormat="1" applyFont="1" applyAlignment="1">
      <alignment horizontal="right"/>
    </xf>
    <xf numFmtId="165" fontId="78" fillId="0" borderId="18" xfId="0" applyNumberFormat="1" applyFont="1" applyBorder="1" applyAlignment="1">
      <alignment horizontal="right"/>
    </xf>
    <xf numFmtId="165" fontId="78" fillId="0" borderId="4" xfId="0" applyNumberFormat="1" applyFont="1" applyBorder="1" applyAlignment="1">
      <alignment horizontal="right"/>
    </xf>
    <xf numFmtId="165" fontId="78" fillId="0" borderId="20" xfId="0" applyNumberFormat="1" applyFont="1" applyBorder="1" applyAlignment="1">
      <alignment horizontal="right"/>
    </xf>
    <xf numFmtId="165" fontId="77" fillId="2" borderId="8" xfId="0" applyNumberFormat="1" applyFont="1" applyFill="1" applyBorder="1" applyAlignment="1">
      <alignment horizontal="right"/>
    </xf>
    <xf numFmtId="164" fontId="78" fillId="0" borderId="1" xfId="0" applyNumberFormat="1" applyFont="1" applyBorder="1"/>
    <xf numFmtId="164" fontId="78" fillId="0" borderId="0" xfId="0" applyNumberFormat="1" applyFont="1"/>
    <xf numFmtId="164" fontId="77" fillId="0" borderId="0" xfId="0" applyNumberFormat="1" applyFont="1"/>
    <xf numFmtId="164" fontId="78" fillId="0" borderId="0" xfId="0" quotePrefix="1" applyNumberFormat="1" applyFont="1"/>
    <xf numFmtId="165" fontId="70" fillId="0" borderId="19" xfId="2" applyNumberFormat="1" applyFont="1" applyBorder="1"/>
    <xf numFmtId="165" fontId="70" fillId="0" borderId="20" xfId="2" applyNumberFormat="1" applyFont="1" applyBorder="1" applyAlignment="1">
      <alignment vertical="center"/>
    </xf>
    <xf numFmtId="165" fontId="69" fillId="0" borderId="1" xfId="2" applyNumberFormat="1" applyFont="1" applyBorder="1" applyAlignment="1">
      <alignment vertical="center"/>
    </xf>
    <xf numFmtId="165" fontId="70" fillId="0" borderId="19" xfId="2" applyNumberFormat="1" applyFont="1" applyBorder="1" applyAlignment="1">
      <alignment horizontal="right" vertical="center"/>
    </xf>
    <xf numFmtId="165" fontId="70" fillId="0" borderId="20" xfId="2" applyNumberFormat="1" applyFont="1" applyBorder="1" applyAlignment="1">
      <alignment horizontal="right" vertical="center"/>
    </xf>
    <xf numFmtId="165" fontId="70" fillId="0" borderId="18" xfId="2" applyNumberFormat="1" applyFont="1" applyBorder="1"/>
    <xf numFmtId="0" fontId="33" fillId="0" borderId="18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0" fontId="33" fillId="0" borderId="20" xfId="2" applyFont="1" applyBorder="1" applyAlignment="1">
      <alignment vertical="center"/>
    </xf>
    <xf numFmtId="0" fontId="33" fillId="0" borderId="0" xfId="2" applyFont="1" applyAlignment="1">
      <alignment vertical="center"/>
    </xf>
    <xf numFmtId="0" fontId="33" fillId="0" borderId="19" xfId="2" applyFont="1" applyBorder="1" applyAlignment="1">
      <alignment horizontal="right" vertical="center"/>
    </xf>
    <xf numFmtId="0" fontId="33" fillId="0" borderId="19" xfId="2" applyFont="1" applyBorder="1" applyAlignment="1">
      <alignment horizontal="left" vertical="center"/>
    </xf>
    <xf numFmtId="0" fontId="33" fillId="0" borderId="20" xfId="2" applyFont="1" applyBorder="1" applyAlignment="1">
      <alignment horizontal="right" vertical="center"/>
    </xf>
    <xf numFmtId="0" fontId="33" fillId="0" borderId="18" xfId="2" applyFont="1" applyBorder="1"/>
    <xf numFmtId="0" fontId="33" fillId="0" borderId="19" xfId="2" applyFont="1" applyBorder="1"/>
    <xf numFmtId="0" fontId="33" fillId="0" borderId="20" xfId="0" applyFont="1" applyBorder="1"/>
    <xf numFmtId="165" fontId="32" fillId="8" borderId="8" xfId="2" applyNumberFormat="1" applyFont="1" applyFill="1" applyBorder="1" applyAlignment="1">
      <alignment horizontal="right" vertical="center"/>
    </xf>
    <xf numFmtId="0" fontId="78" fillId="0" borderId="18" xfId="2" applyFont="1" applyBorder="1" applyAlignment="1">
      <alignment vertical="center"/>
    </xf>
    <xf numFmtId="0" fontId="78" fillId="0" borderId="19" xfId="2" applyFont="1" applyBorder="1" applyAlignment="1">
      <alignment vertical="center"/>
    </xf>
    <xf numFmtId="0" fontId="78" fillId="0" borderId="20" xfId="2" applyFont="1" applyBorder="1" applyAlignment="1">
      <alignment vertical="center"/>
    </xf>
    <xf numFmtId="165" fontId="77" fillId="0" borderId="1" xfId="2" applyNumberFormat="1" applyFont="1" applyBorder="1" applyAlignment="1">
      <alignment vertical="center"/>
    </xf>
    <xf numFmtId="0" fontId="78" fillId="0" borderId="0" xfId="2" applyFont="1" applyAlignment="1">
      <alignment vertical="center"/>
    </xf>
    <xf numFmtId="0" fontId="78" fillId="0" borderId="19" xfId="2" applyFont="1" applyBorder="1" applyAlignment="1">
      <alignment horizontal="right" vertical="center"/>
    </xf>
    <xf numFmtId="0" fontId="78" fillId="0" borderId="19" xfId="2" applyFont="1" applyBorder="1" applyAlignment="1">
      <alignment horizontal="left" vertical="center"/>
    </xf>
    <xf numFmtId="0" fontId="78" fillId="0" borderId="20" xfId="2" applyFont="1" applyBorder="1" applyAlignment="1">
      <alignment horizontal="right" vertical="center"/>
    </xf>
    <xf numFmtId="0" fontId="78" fillId="0" borderId="18" xfId="2" applyFont="1" applyBorder="1"/>
    <xf numFmtId="0" fontId="78" fillId="0" borderId="19" xfId="2" applyFont="1" applyBorder="1"/>
    <xf numFmtId="0" fontId="78" fillId="0" borderId="20" xfId="0" applyFont="1" applyBorder="1"/>
    <xf numFmtId="165" fontId="77" fillId="8" borderId="8" xfId="2" applyNumberFormat="1" applyFont="1" applyFill="1" applyBorder="1" applyAlignment="1">
      <alignment horizontal="right" vertical="center"/>
    </xf>
    <xf numFmtId="0" fontId="77" fillId="0" borderId="0" xfId="0" applyFont="1"/>
    <xf numFmtId="0" fontId="78" fillId="0" borderId="0" xfId="0" applyFont="1"/>
    <xf numFmtId="164" fontId="40" fillId="0" borderId="0" xfId="0" applyNumberFormat="1" applyFont="1" applyAlignment="1">
      <alignment horizontal="center" vertical="center" wrapText="1"/>
    </xf>
    <xf numFmtId="165" fontId="69" fillId="0" borderId="34" xfId="0" applyNumberFormat="1" applyFont="1" applyBorder="1" applyAlignment="1">
      <alignment horizontal="right" vertical="center"/>
    </xf>
    <xf numFmtId="165" fontId="69" fillId="0" borderId="35" xfId="0" applyNumberFormat="1" applyFont="1" applyBorder="1" applyAlignment="1">
      <alignment horizontal="right" vertical="center"/>
    </xf>
    <xf numFmtId="165" fontId="32" fillId="0" borderId="8" xfId="0" applyNumberFormat="1" applyFont="1" applyBorder="1" applyAlignment="1">
      <alignment horizontal="right"/>
    </xf>
    <xf numFmtId="165" fontId="33" fillId="0" borderId="19" xfId="0" applyNumberFormat="1" applyFont="1" applyBorder="1" applyAlignment="1">
      <alignment horizontal="right"/>
    </xf>
    <xf numFmtId="165" fontId="33" fillId="0" borderId="26" xfId="0" applyNumberFormat="1" applyFont="1" applyBorder="1" applyAlignment="1">
      <alignment horizontal="right"/>
    </xf>
    <xf numFmtId="165" fontId="32" fillId="0" borderId="34" xfId="0" applyNumberFormat="1" applyFont="1" applyBorder="1" applyAlignment="1">
      <alignment horizontal="right" vertical="center"/>
    </xf>
    <xf numFmtId="165" fontId="32" fillId="0" borderId="35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left"/>
    </xf>
    <xf numFmtId="164" fontId="31" fillId="0" borderId="1" xfId="0" applyNumberFormat="1" applyFont="1" applyBorder="1"/>
    <xf numFmtId="165" fontId="78" fillId="0" borderId="1" xfId="0" applyNumberFormat="1" applyFont="1" applyBorder="1"/>
    <xf numFmtId="165" fontId="77" fillId="0" borderId="8" xfId="0" applyNumberFormat="1" applyFont="1" applyBorder="1" applyAlignment="1">
      <alignment horizontal="right"/>
    </xf>
    <xf numFmtId="164" fontId="79" fillId="0" borderId="0" xfId="0" applyNumberFormat="1" applyFont="1"/>
    <xf numFmtId="165" fontId="78" fillId="0" borderId="19" xfId="0" applyNumberFormat="1" applyFont="1" applyBorder="1" applyAlignment="1">
      <alignment horizontal="right"/>
    </xf>
    <xf numFmtId="165" fontId="78" fillId="0" borderId="26" xfId="0" applyNumberFormat="1" applyFont="1" applyBorder="1" applyAlignment="1">
      <alignment horizontal="right"/>
    </xf>
    <xf numFmtId="165" fontId="77" fillId="0" borderId="34" xfId="0" applyNumberFormat="1" applyFont="1" applyBorder="1" applyAlignment="1">
      <alignment horizontal="right" vertical="center"/>
    </xf>
    <xf numFmtId="165" fontId="77" fillId="0" borderId="35" xfId="0" applyNumberFormat="1" applyFont="1" applyBorder="1" applyAlignment="1">
      <alignment horizontal="right" vertical="center"/>
    </xf>
    <xf numFmtId="164" fontId="77" fillId="0" borderId="1" xfId="0" applyNumberFormat="1" applyFont="1" applyBorder="1" applyAlignment="1">
      <alignment horizontal="left"/>
    </xf>
    <xf numFmtId="164" fontId="79" fillId="0" borderId="1" xfId="0" applyNumberFormat="1" applyFont="1" applyBorder="1"/>
    <xf numFmtId="164" fontId="82" fillId="0" borderId="0" xfId="0" applyNumberFormat="1" applyFont="1" applyAlignment="1">
      <alignment horizontal="center" vertical="center" wrapText="1"/>
    </xf>
    <xf numFmtId="164" fontId="77" fillId="2" borderId="8" xfId="0" applyNumberFormat="1" applyFont="1" applyFill="1" applyBorder="1" applyAlignment="1">
      <alignment horizontal="right"/>
    </xf>
    <xf numFmtId="165" fontId="32" fillId="0" borderId="0" xfId="0" applyNumberFormat="1" applyFont="1" applyAlignment="1">
      <alignment horizontal="left"/>
    </xf>
    <xf numFmtId="165" fontId="32" fillId="0" borderId="0" xfId="0" applyNumberFormat="1" applyFont="1"/>
    <xf numFmtId="165" fontId="32" fillId="4" borderId="8" xfId="0" applyNumberFormat="1" applyFont="1" applyFill="1" applyBorder="1" applyAlignment="1">
      <alignment horizontal="right"/>
    </xf>
    <xf numFmtId="165" fontId="78" fillId="0" borderId="18" xfId="0" applyNumberFormat="1" applyFont="1" applyBorder="1"/>
    <xf numFmtId="165" fontId="78" fillId="0" borderId="19" xfId="0" applyNumberFormat="1" applyFont="1" applyBorder="1"/>
    <xf numFmtId="165" fontId="78" fillId="0" borderId="0" xfId="0" applyNumberFormat="1" applyFont="1"/>
    <xf numFmtId="165" fontId="78" fillId="0" borderId="20" xfId="0" applyNumberFormat="1" applyFont="1" applyBorder="1"/>
    <xf numFmtId="165" fontId="77" fillId="0" borderId="0" xfId="0" applyNumberFormat="1" applyFont="1" applyAlignment="1">
      <alignment horizontal="left"/>
    </xf>
    <xf numFmtId="165" fontId="77" fillId="0" borderId="0" xfId="0" applyNumberFormat="1" applyFont="1"/>
    <xf numFmtId="165" fontId="79" fillId="0" borderId="0" xfId="0" applyNumberFormat="1" applyFont="1"/>
    <xf numFmtId="165" fontId="79" fillId="0" borderId="10" xfId="0" applyNumberFormat="1" applyFont="1" applyBorder="1"/>
    <xf numFmtId="165" fontId="31" fillId="0" borderId="10" xfId="0" applyNumberFormat="1" applyFont="1" applyBorder="1"/>
    <xf numFmtId="165" fontId="79" fillId="0" borderId="2" xfId="0" applyNumberFormat="1" applyFont="1" applyBorder="1"/>
    <xf numFmtId="165" fontId="31" fillId="0" borderId="2" xfId="0" applyNumberFormat="1" applyFont="1" applyBorder="1"/>
    <xf numFmtId="165" fontId="79" fillId="0" borderId="4" xfId="0" applyNumberFormat="1" applyFont="1" applyBorder="1"/>
    <xf numFmtId="165" fontId="31" fillId="0" borderId="4" xfId="0" applyNumberFormat="1" applyFont="1" applyBorder="1"/>
    <xf numFmtId="165" fontId="79" fillId="0" borderId="7" xfId="0" applyNumberFormat="1" applyFont="1" applyBorder="1"/>
    <xf numFmtId="165" fontId="31" fillId="0" borderId="7" xfId="0" applyNumberFormat="1" applyFont="1" applyBorder="1"/>
    <xf numFmtId="165" fontId="69" fillId="0" borderId="0" xfId="2" applyNumberFormat="1" applyFont="1" applyAlignment="1">
      <alignment horizontal="left" vertical="center"/>
    </xf>
    <xf numFmtId="165" fontId="70" fillId="0" borderId="2" xfId="2" applyNumberFormat="1" applyFont="1" applyBorder="1" applyAlignment="1">
      <alignment horizontal="right" vertical="center"/>
    </xf>
    <xf numFmtId="165" fontId="33" fillId="0" borderId="24" xfId="0" applyNumberFormat="1" applyFont="1" applyBorder="1"/>
    <xf numFmtId="165" fontId="78" fillId="0" borderId="24" xfId="0" applyNumberFormat="1" applyFont="1" applyBorder="1"/>
    <xf numFmtId="165" fontId="78" fillId="0" borderId="18" xfId="2" applyNumberFormat="1" applyFont="1" applyBorder="1" applyAlignment="1">
      <alignment vertical="center"/>
    </xf>
    <xf numFmtId="165" fontId="33" fillId="0" borderId="18" xfId="2" applyNumberFormat="1" applyFont="1" applyBorder="1" applyAlignment="1">
      <alignment vertical="center"/>
    </xf>
    <xf numFmtId="165" fontId="78" fillId="0" borderId="19" xfId="2" applyNumberFormat="1" applyFont="1" applyBorder="1" applyAlignment="1">
      <alignment vertical="center"/>
    </xf>
    <xf numFmtId="165" fontId="33" fillId="0" borderId="19" xfId="2" applyNumberFormat="1" applyFont="1" applyBorder="1" applyAlignment="1">
      <alignment vertical="center"/>
    </xf>
    <xf numFmtId="165" fontId="78" fillId="0" borderId="26" xfId="2" applyNumberFormat="1" applyFont="1" applyBorder="1" applyAlignment="1">
      <alignment vertical="center"/>
    </xf>
    <xf numFmtId="165" fontId="33" fillId="0" borderId="26" xfId="2" applyNumberFormat="1" applyFont="1" applyBorder="1" applyAlignment="1">
      <alignment vertical="center"/>
    </xf>
    <xf numFmtId="165" fontId="78" fillId="0" borderId="0" xfId="2" applyNumberFormat="1" applyFont="1" applyAlignment="1">
      <alignment vertical="center"/>
    </xf>
    <xf numFmtId="165" fontId="33" fillId="0" borderId="0" xfId="2" applyNumberFormat="1" applyFont="1" applyAlignment="1">
      <alignment vertical="center"/>
    </xf>
    <xf numFmtId="165" fontId="78" fillId="0" borderId="1" xfId="2" applyNumberFormat="1" applyFont="1" applyBorder="1" applyAlignment="1">
      <alignment vertical="center"/>
    </xf>
    <xf numFmtId="165" fontId="33" fillId="0" borderId="1" xfId="2" applyNumberFormat="1" applyFont="1" applyBorder="1" applyAlignment="1">
      <alignment vertical="center"/>
    </xf>
    <xf numFmtId="165" fontId="77" fillId="0" borderId="0" xfId="2" applyNumberFormat="1" applyFont="1" applyAlignment="1">
      <alignment horizontal="left" vertical="center"/>
    </xf>
    <xf numFmtId="165" fontId="32" fillId="0" borderId="0" xfId="2" applyNumberFormat="1" applyFont="1" applyAlignment="1">
      <alignment horizontal="left" vertical="center"/>
    </xf>
    <xf numFmtId="165" fontId="78" fillId="0" borderId="2" xfId="2" applyNumberFormat="1" applyFont="1" applyBorder="1" applyAlignment="1">
      <alignment horizontal="right" vertical="center"/>
    </xf>
    <xf numFmtId="165" fontId="33" fillId="0" borderId="2" xfId="2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wrapText="1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164" fontId="76" fillId="0" borderId="28" xfId="0" applyNumberFormat="1" applyFont="1" applyBorder="1" applyAlignment="1">
      <alignment horizontal="center" vertical="center"/>
    </xf>
    <xf numFmtId="164" fontId="76" fillId="0" borderId="30" xfId="0" applyNumberFormat="1" applyFont="1" applyBorder="1" applyAlignment="1">
      <alignment horizontal="center" vertical="center"/>
    </xf>
    <xf numFmtId="164" fontId="76" fillId="0" borderId="29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left"/>
    </xf>
    <xf numFmtId="164" fontId="13" fillId="0" borderId="8" xfId="0" applyNumberFormat="1" applyFont="1" applyBorder="1" applyAlignment="1">
      <alignment horizontal="left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164" fontId="25" fillId="0" borderId="3" xfId="0" applyNumberFormat="1" applyFont="1" applyBorder="1" applyAlignment="1">
      <alignment horizontal="left"/>
    </xf>
    <xf numFmtId="164" fontId="25" fillId="0" borderId="8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 vertical="center"/>
    </xf>
    <xf numFmtId="164" fontId="25" fillId="0" borderId="3" xfId="0" applyNumberFormat="1" applyFont="1" applyBorder="1" applyAlignment="1">
      <alignment horizontal="left" vertical="center"/>
    </xf>
    <xf numFmtId="0" fontId="10" fillId="4" borderId="3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64" fontId="10" fillId="0" borderId="3" xfId="0" applyNumberFormat="1" applyFont="1" applyBorder="1" applyAlignment="1">
      <alignment horizontal="left"/>
    </xf>
    <xf numFmtId="164" fontId="10" fillId="0" borderId="8" xfId="0" applyNumberFormat="1" applyFont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164" fontId="40" fillId="0" borderId="28" xfId="0" applyNumberFormat="1" applyFont="1" applyBorder="1" applyAlignment="1">
      <alignment horizontal="center" vertical="center" wrapText="1"/>
    </xf>
    <xf numFmtId="164" fontId="40" fillId="0" borderId="30" xfId="0" applyNumberFormat="1" applyFont="1" applyBorder="1" applyAlignment="1">
      <alignment horizontal="center" vertical="center" wrapText="1"/>
    </xf>
    <xf numFmtId="164" fontId="40" fillId="0" borderId="29" xfId="0" applyNumberFormat="1" applyFont="1" applyBorder="1" applyAlignment="1">
      <alignment horizontal="center" vertical="center" wrapText="1"/>
    </xf>
    <xf numFmtId="164" fontId="25" fillId="2" borderId="3" xfId="0" applyNumberFormat="1" applyFont="1" applyFill="1" applyBorder="1" applyAlignment="1">
      <alignment horizontal="left"/>
    </xf>
    <xf numFmtId="164" fontId="25" fillId="2" borderId="8" xfId="0" applyNumberFormat="1" applyFont="1" applyFill="1" applyBorder="1" applyAlignment="1">
      <alignment horizontal="left"/>
    </xf>
    <xf numFmtId="165" fontId="36" fillId="0" borderId="2" xfId="0" applyNumberFormat="1" applyFont="1" applyBorder="1" applyAlignment="1">
      <alignment vertical="center"/>
    </xf>
    <xf numFmtId="165" fontId="36" fillId="0" borderId="7" xfId="0" applyNumberFormat="1" applyFont="1" applyBorder="1" applyAlignment="1">
      <alignment vertical="center"/>
    </xf>
    <xf numFmtId="165" fontId="7" fillId="0" borderId="32" xfId="0" applyNumberFormat="1" applyFont="1" applyBorder="1" applyAlignment="1">
      <alignment vertical="center"/>
    </xf>
    <xf numFmtId="165" fontId="7" fillId="0" borderId="33" xfId="0" applyNumberFormat="1" applyFont="1" applyBorder="1" applyAlignment="1">
      <alignment vertical="center"/>
    </xf>
    <xf numFmtId="165" fontId="37" fillId="0" borderId="2" xfId="0" applyNumberFormat="1" applyFont="1" applyBorder="1" applyAlignment="1">
      <alignment vertical="center"/>
    </xf>
    <xf numFmtId="165" fontId="37" fillId="0" borderId="7" xfId="0" applyNumberFormat="1" applyFont="1" applyBorder="1" applyAlignment="1">
      <alignment vertical="center"/>
    </xf>
    <xf numFmtId="165" fontId="53" fillId="0" borderId="2" xfId="0" applyNumberFormat="1" applyFont="1" applyBorder="1" applyAlignment="1">
      <alignment vertical="center"/>
    </xf>
    <xf numFmtId="165" fontId="53" fillId="0" borderId="7" xfId="0" applyNumberFormat="1" applyFont="1" applyBorder="1" applyAlignment="1">
      <alignment vertical="center"/>
    </xf>
    <xf numFmtId="165" fontId="32" fillId="0" borderId="2" xfId="0" applyNumberFormat="1" applyFont="1" applyBorder="1" applyAlignment="1">
      <alignment vertical="center"/>
    </xf>
    <xf numFmtId="165" fontId="32" fillId="0" borderId="7" xfId="0" applyNumberFormat="1" applyFont="1" applyBorder="1" applyAlignment="1">
      <alignment vertical="center"/>
    </xf>
    <xf numFmtId="164" fontId="10" fillId="2" borderId="2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 textRotation="90" wrapText="1"/>
    </xf>
    <xf numFmtId="0" fontId="19" fillId="0" borderId="0" xfId="2" applyFont="1" applyAlignment="1">
      <alignment horizontal="center" vertical="center" textRotation="90"/>
    </xf>
    <xf numFmtId="0" fontId="25" fillId="8" borderId="3" xfId="2" applyFont="1" applyFill="1" applyBorder="1" applyAlignment="1">
      <alignment horizontal="left" vertical="center"/>
    </xf>
    <xf numFmtId="0" fontId="25" fillId="8" borderId="8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164" fontId="10" fillId="2" borderId="2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65" fontId="13" fillId="0" borderId="1" xfId="0" applyNumberFormat="1" applyFont="1" applyBorder="1" applyAlignment="1">
      <alignment horizontal="left"/>
    </xf>
    <xf numFmtId="165" fontId="25" fillId="2" borderId="3" xfId="0" applyNumberFormat="1" applyFont="1" applyFill="1" applyBorder="1" applyAlignment="1">
      <alignment horizontal="left"/>
    </xf>
    <xf numFmtId="165" fontId="25" fillId="2" borderId="8" xfId="0" applyNumberFormat="1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165" fontId="13" fillId="0" borderId="3" xfId="0" applyNumberFormat="1" applyFont="1" applyBorder="1" applyAlignment="1">
      <alignment horizontal="left"/>
    </xf>
    <xf numFmtId="165" fontId="13" fillId="0" borderId="14" xfId="0" applyNumberFormat="1" applyFont="1" applyBorder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0" fillId="0" borderId="8" xfId="0" applyBorder="1"/>
    <xf numFmtId="0" fontId="28" fillId="2" borderId="13" xfId="0" applyFont="1" applyFill="1" applyBorder="1" applyAlignment="1">
      <alignment horizontal="left"/>
    </xf>
    <xf numFmtId="0" fontId="28" fillId="2" borderId="12" xfId="0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164" fontId="33" fillId="0" borderId="3" xfId="0" applyNumberFormat="1" applyFont="1" applyBorder="1" applyAlignment="1">
      <alignment horizontal="center"/>
    </xf>
    <xf numFmtId="164" fontId="33" fillId="0" borderId="14" xfId="0" applyNumberFormat="1" applyFont="1" applyBorder="1" applyAlignment="1">
      <alignment horizontal="center"/>
    </xf>
    <xf numFmtId="164" fontId="33" fillId="0" borderId="8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center"/>
    </xf>
    <xf numFmtId="164" fontId="51" fillId="0" borderId="14" xfId="0" applyNumberFormat="1" applyFont="1" applyBorder="1" applyAlignment="1">
      <alignment horizontal="center"/>
    </xf>
    <xf numFmtId="164" fontId="51" fillId="0" borderId="8" xfId="0" applyNumberFormat="1" applyFont="1" applyBorder="1" applyAlignment="1">
      <alignment horizontal="center"/>
    </xf>
    <xf numFmtId="164" fontId="70" fillId="0" borderId="3" xfId="0" applyNumberFormat="1" applyFont="1" applyBorder="1" applyAlignment="1">
      <alignment horizontal="center"/>
    </xf>
    <xf numFmtId="164" fontId="70" fillId="0" borderId="14" xfId="0" applyNumberFormat="1" applyFont="1" applyBorder="1" applyAlignment="1">
      <alignment horizontal="center"/>
    </xf>
    <xf numFmtId="164" fontId="70" fillId="0" borderId="8" xfId="0" applyNumberFormat="1" applyFont="1" applyBorder="1" applyAlignment="1">
      <alignment horizontal="center"/>
    </xf>
    <xf numFmtId="164" fontId="78" fillId="0" borderId="3" xfId="0" applyNumberFormat="1" applyFont="1" applyBorder="1" applyAlignment="1">
      <alignment horizontal="center"/>
    </xf>
    <xf numFmtId="164" fontId="78" fillId="0" borderId="14" xfId="0" applyNumberFormat="1" applyFont="1" applyBorder="1" applyAlignment="1">
      <alignment horizontal="center"/>
    </xf>
    <xf numFmtId="164" fontId="78" fillId="0" borderId="8" xfId="0" applyNumberFormat="1" applyFont="1" applyBorder="1" applyAlignment="1">
      <alignment horizontal="center"/>
    </xf>
    <xf numFmtId="0" fontId="3" fillId="0" borderId="6" xfId="2" applyFont="1" applyBorder="1" applyAlignment="1">
      <alignment horizontal="left" vertical="center"/>
    </xf>
  </cellXfs>
  <cellStyles count="3">
    <cellStyle name="Euro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66FF66"/>
      <color rgb="FFFFFF99"/>
      <color rgb="FF99CCFF"/>
      <color rgb="FFFF3399"/>
      <color rgb="FFFF6600"/>
      <color rgb="FFCCFFFF"/>
      <color rgb="FF974807"/>
      <color rgb="FF99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workbookViewId="0">
      <selection sqref="A1:B1"/>
    </sheetView>
  </sheetViews>
  <sheetFormatPr baseColWidth="10" defaultRowHeight="14.5" x14ac:dyDescent="0.35"/>
  <cols>
    <col min="1" max="1" width="14.08984375" customWidth="1"/>
    <col min="2" max="2" width="31.08984375" customWidth="1"/>
    <col min="3" max="4" width="8.08984375" customWidth="1"/>
    <col min="5" max="5" width="9.90625" customWidth="1"/>
    <col min="6" max="6" width="9.08984375" style="342" customWidth="1"/>
    <col min="7" max="7" width="9.08984375" style="131" customWidth="1"/>
    <col min="8" max="8" width="9.08984375" style="129" customWidth="1"/>
    <col min="9" max="9" width="9.08984375" style="243" customWidth="1"/>
    <col min="10" max="10" width="9.08984375" style="100" customWidth="1"/>
    <col min="11" max="11" width="3.36328125" style="60" customWidth="1"/>
    <col min="12" max="12" width="3.453125" style="60" customWidth="1"/>
    <col min="13" max="13" width="28.54296875" style="60" customWidth="1"/>
    <col min="14" max="15" width="8.36328125" style="60" customWidth="1"/>
    <col min="16" max="16" width="10.36328125" style="541" customWidth="1"/>
    <col min="17" max="17" width="9.08984375" style="342" customWidth="1"/>
    <col min="18" max="18" width="9.08984375" style="111" customWidth="1"/>
    <col min="19" max="19" width="9.08984375" style="129" customWidth="1"/>
    <col min="20" max="20" width="9.08984375" style="243" customWidth="1"/>
    <col min="21" max="21" width="9.08984375" style="139" customWidth="1"/>
    <col min="22" max="22" width="4.36328125" customWidth="1"/>
  </cols>
  <sheetData>
    <row r="1" spans="1:21" s="2" customFormat="1" ht="15" customHeight="1" x14ac:dyDescent="0.35">
      <c r="A1" s="816" t="s">
        <v>200</v>
      </c>
      <c r="B1" s="817"/>
      <c r="C1" s="654" t="s">
        <v>17</v>
      </c>
      <c r="D1" s="652" t="s">
        <v>17</v>
      </c>
      <c r="E1" s="632" t="s">
        <v>17</v>
      </c>
      <c r="F1" s="130" t="s">
        <v>17</v>
      </c>
      <c r="G1" s="341" t="s">
        <v>17</v>
      </c>
      <c r="H1" s="68" t="s">
        <v>17</v>
      </c>
      <c r="I1" s="286" t="s">
        <v>17</v>
      </c>
      <c r="J1" s="270" t="s">
        <v>17</v>
      </c>
      <c r="K1" s="69"/>
      <c r="L1" s="39"/>
      <c r="M1" s="39"/>
      <c r="N1" s="654" t="s">
        <v>17</v>
      </c>
      <c r="O1" s="652" t="s">
        <v>17</v>
      </c>
      <c r="P1" s="557" t="s">
        <v>17</v>
      </c>
      <c r="Q1" s="130" t="s">
        <v>17</v>
      </c>
      <c r="R1" s="341" t="s">
        <v>17</v>
      </c>
      <c r="S1" s="68" t="s">
        <v>17</v>
      </c>
      <c r="T1" s="286" t="s">
        <v>17</v>
      </c>
      <c r="U1" s="270" t="s">
        <v>17</v>
      </c>
    </row>
    <row r="2" spans="1:21" s="2" customFormat="1" ht="15" customHeight="1" x14ac:dyDescent="0.35">
      <c r="A2" s="35"/>
      <c r="B2" s="141" t="s">
        <v>110</v>
      </c>
      <c r="C2" s="655" t="s">
        <v>186</v>
      </c>
      <c r="D2" s="653" t="s">
        <v>187</v>
      </c>
      <c r="E2" s="636" t="s">
        <v>164</v>
      </c>
      <c r="F2" s="463" t="s">
        <v>159</v>
      </c>
      <c r="G2" s="417" t="s">
        <v>152</v>
      </c>
      <c r="H2" s="70" t="s">
        <v>144</v>
      </c>
      <c r="I2" s="287" t="s">
        <v>136</v>
      </c>
      <c r="J2" s="271" t="s">
        <v>118</v>
      </c>
      <c r="K2" s="69"/>
      <c r="L2" s="39"/>
      <c r="M2" s="142" t="s">
        <v>111</v>
      </c>
      <c r="N2" s="655" t="s">
        <v>186</v>
      </c>
      <c r="O2" s="653" t="s">
        <v>187</v>
      </c>
      <c r="P2" s="557" t="s">
        <v>165</v>
      </c>
      <c r="Q2" s="463" t="s">
        <v>159</v>
      </c>
      <c r="R2" s="417" t="s">
        <v>152</v>
      </c>
      <c r="S2" s="70" t="s">
        <v>144</v>
      </c>
      <c r="T2" s="287" t="s">
        <v>136</v>
      </c>
      <c r="U2" s="271" t="s">
        <v>118</v>
      </c>
    </row>
    <row r="3" spans="1:21" ht="9" customHeight="1" x14ac:dyDescent="0.35">
      <c r="A3" s="36"/>
      <c r="B3" s="36"/>
      <c r="C3" s="749"/>
      <c r="D3" s="101"/>
      <c r="E3" s="523"/>
      <c r="F3" s="111"/>
      <c r="G3" s="369"/>
      <c r="H3" s="116"/>
      <c r="I3" s="109"/>
      <c r="J3" s="101"/>
      <c r="K3" s="67"/>
      <c r="L3" s="24"/>
      <c r="M3" s="24"/>
      <c r="N3" s="716"/>
      <c r="O3" s="106"/>
      <c r="P3" s="519"/>
      <c r="Q3" s="111"/>
      <c r="R3" s="342"/>
      <c r="S3" s="116"/>
      <c r="T3" s="109"/>
      <c r="U3" s="106"/>
    </row>
    <row r="4" spans="1:21" ht="15" customHeight="1" x14ac:dyDescent="0.35">
      <c r="A4" s="37">
        <v>6063</v>
      </c>
      <c r="B4" s="160" t="s">
        <v>84</v>
      </c>
      <c r="C4" s="774">
        <f>SUM('Charges de structure'!C7)</f>
        <v>2.4940000000000002</v>
      </c>
      <c r="D4" s="591">
        <f>SUM('Charges de structure'!D7)</f>
        <v>2.0270000000000001</v>
      </c>
      <c r="E4" s="633">
        <f>SUM('Charges de structure'!E7)</f>
        <v>3.625</v>
      </c>
      <c r="F4" s="162">
        <f>'Charges de structure'!F7</f>
        <v>1.49647</v>
      </c>
      <c r="G4" s="345">
        <f>'Charges de structure'!G7</f>
        <v>1.7</v>
      </c>
      <c r="H4" s="163">
        <f>'Charges de structure'!H7</f>
        <v>2.1891600000000002</v>
      </c>
      <c r="I4" s="164">
        <f>'Charges de structure'!I7</f>
        <v>2.40252</v>
      </c>
      <c r="J4" s="161">
        <f>'Charges de structure'!J7</f>
        <v>2.5489999999999999</v>
      </c>
      <c r="K4" s="67"/>
      <c r="L4" s="24"/>
      <c r="M4" s="25" t="s">
        <v>106</v>
      </c>
      <c r="N4" s="760">
        <f>SUM('Vie associative'!N7)</f>
        <v>510.048</v>
      </c>
      <c r="O4" s="576">
        <f>SUM('Vie associative'!O7)</f>
        <v>386.31200000000001</v>
      </c>
      <c r="P4" s="571">
        <f>SUM('Vie associative'!P7)</f>
        <v>366.553</v>
      </c>
      <c r="Q4" s="572">
        <f>'Vie associative'!Q7</f>
        <v>350.87599999999998</v>
      </c>
      <c r="R4" s="573">
        <f>'Vie associative'!R7</f>
        <v>331.8</v>
      </c>
      <c r="S4" s="574">
        <f>'Vie associative'!S7</f>
        <v>413.07900000000001</v>
      </c>
      <c r="T4" s="575">
        <f>'Vie associative'!T7</f>
        <v>401.279</v>
      </c>
      <c r="U4" s="576">
        <f>'Vie associative'!U7</f>
        <v>407.11</v>
      </c>
    </row>
    <row r="5" spans="1:21" ht="15" customHeight="1" x14ac:dyDescent="0.35">
      <c r="A5" s="37">
        <v>6064</v>
      </c>
      <c r="B5" s="166" t="s">
        <v>83</v>
      </c>
      <c r="C5" s="775">
        <f>SUM('Charges de structure'!C8)</f>
        <v>14.013</v>
      </c>
      <c r="D5" s="612">
        <f>SUM('Charges de structure'!D8)</f>
        <v>22.88</v>
      </c>
      <c r="E5" s="634">
        <f>SUM('Charges de structure'!E8)</f>
        <v>7.0510000000000002</v>
      </c>
      <c r="F5" s="168">
        <f>'Charges de structure'!F8</f>
        <v>4.7878800000000004</v>
      </c>
      <c r="G5" s="347">
        <f>'Charges de structure'!G8</f>
        <v>3.5</v>
      </c>
      <c r="H5" s="169">
        <f>'Charges de structure'!H8</f>
        <v>4.6871</v>
      </c>
      <c r="I5" s="269">
        <f>'Charges de structure'!I8</f>
        <v>6.0648400000000002</v>
      </c>
      <c r="J5" s="167">
        <f>'Charges de structure'!J8</f>
        <v>7.0380000000000003</v>
      </c>
      <c r="K5" s="67"/>
      <c r="L5" s="818" t="s">
        <v>20</v>
      </c>
      <c r="M5" s="819"/>
      <c r="N5" s="761">
        <f t="shared" ref="N5:S5" si="0">SUM(N4)</f>
        <v>510.048</v>
      </c>
      <c r="O5" s="753">
        <f t="shared" si="0"/>
        <v>386.31200000000001</v>
      </c>
      <c r="P5" s="570">
        <f t="shared" si="0"/>
        <v>366.553</v>
      </c>
      <c r="Q5" s="577">
        <f t="shared" si="0"/>
        <v>350.87599999999998</v>
      </c>
      <c r="R5" s="430">
        <f t="shared" si="0"/>
        <v>331.8</v>
      </c>
      <c r="S5" s="578">
        <f t="shared" si="0"/>
        <v>413.07900000000001</v>
      </c>
      <c r="T5" s="579">
        <f t="shared" ref="T5:U5" si="1">SUM(T4)</f>
        <v>401.279</v>
      </c>
      <c r="U5" s="580">
        <f t="shared" si="1"/>
        <v>407.11</v>
      </c>
    </row>
    <row r="6" spans="1:21" ht="15" customHeight="1" x14ac:dyDescent="0.35">
      <c r="A6" s="808" t="s">
        <v>21</v>
      </c>
      <c r="B6" s="809"/>
      <c r="C6" s="761">
        <f t="shared" ref="C6:H6" si="2">SUM(C4:C5)</f>
        <v>16.507000000000001</v>
      </c>
      <c r="D6" s="753">
        <f t="shared" si="2"/>
        <v>24.907</v>
      </c>
      <c r="E6" s="570">
        <f t="shared" si="2"/>
        <v>10.676</v>
      </c>
      <c r="F6" s="112">
        <f t="shared" si="2"/>
        <v>6.2843499999999999</v>
      </c>
      <c r="G6" s="344">
        <f t="shared" si="2"/>
        <v>5.2</v>
      </c>
      <c r="H6" s="115">
        <f t="shared" si="2"/>
        <v>6.8762600000000003</v>
      </c>
      <c r="I6" s="203">
        <f t="shared" ref="I6:J6" si="3">SUM(I4:I5)</f>
        <v>8.4673599999999993</v>
      </c>
      <c r="J6" s="121">
        <f t="shared" si="3"/>
        <v>9.5869999999999997</v>
      </c>
      <c r="K6" s="66"/>
      <c r="N6" s="762"/>
      <c r="O6" s="139"/>
      <c r="P6" s="581"/>
      <c r="Q6" s="582"/>
      <c r="R6" s="459"/>
      <c r="S6" s="583"/>
      <c r="T6" s="584"/>
      <c r="U6" s="585"/>
    </row>
    <row r="7" spans="1:21" ht="9" customHeight="1" x14ac:dyDescent="0.35">
      <c r="A7" s="36"/>
      <c r="B7" s="36"/>
      <c r="C7" s="776"/>
      <c r="D7" s="606"/>
      <c r="E7" s="550"/>
      <c r="F7" s="111"/>
      <c r="G7" s="342"/>
      <c r="H7" s="116"/>
      <c r="I7" s="109"/>
      <c r="J7" s="101"/>
      <c r="K7" s="67"/>
      <c r="N7" s="762"/>
      <c r="O7" s="139"/>
      <c r="P7" s="581"/>
      <c r="Q7" s="582"/>
      <c r="R7" s="459"/>
      <c r="S7" s="583"/>
      <c r="T7" s="584"/>
      <c r="U7" s="585"/>
    </row>
    <row r="8" spans="1:21" ht="15.75" customHeight="1" x14ac:dyDescent="0.35">
      <c r="C8" s="684"/>
      <c r="D8" s="100"/>
      <c r="K8" s="67"/>
      <c r="L8" s="24"/>
      <c r="M8" s="25" t="s">
        <v>56</v>
      </c>
      <c r="N8" s="711">
        <f>SUM('Vie associative'!N10)</f>
        <v>32.82</v>
      </c>
      <c r="O8" s="701">
        <f>SUM('Vie associative'!O10)</f>
        <v>32.99</v>
      </c>
      <c r="P8" s="586">
        <f>SUM('Vie associative'!P10)</f>
        <v>31.620999999999999</v>
      </c>
      <c r="Q8" s="587">
        <f>'Vie associative'!Q10</f>
        <v>29.489000000000001</v>
      </c>
      <c r="R8" s="588">
        <f>'Vie associative'!R10</f>
        <v>29.7</v>
      </c>
      <c r="S8" s="589">
        <f>'Vie associative'!S10</f>
        <v>30.233000000000001</v>
      </c>
      <c r="T8" s="590">
        <f>'Vie associative'!T10</f>
        <v>30.463000000000001</v>
      </c>
      <c r="U8" s="591">
        <f>'Vie associative'!U10</f>
        <v>31.013999999999999</v>
      </c>
    </row>
    <row r="9" spans="1:21" ht="15.75" customHeight="1" x14ac:dyDescent="0.35">
      <c r="A9" s="37">
        <v>6110</v>
      </c>
      <c r="B9" s="160" t="s">
        <v>85</v>
      </c>
      <c r="C9" s="774">
        <f>SUM('Charges de structure'!C9)+'Charges de structure'!C11</f>
        <v>23.561999999999998</v>
      </c>
      <c r="D9" s="591">
        <f>SUM('Charges de structure'!D9)+'Charges de structure'!D11</f>
        <v>24.509</v>
      </c>
      <c r="E9" s="633">
        <f>SUM('Charges de structure'!E9)+'Charges de structure'!E11</f>
        <v>24.701000000000001</v>
      </c>
      <c r="F9" s="162">
        <f>'Charges de structure'!F9</f>
        <v>24.598690000000001</v>
      </c>
      <c r="G9" s="345">
        <f>'Charges de structure'!G9</f>
        <v>24.4</v>
      </c>
      <c r="H9" s="163">
        <f>'Charges de structure'!H9</f>
        <v>23.096260000000001</v>
      </c>
      <c r="I9" s="164">
        <f>'Charges de structure'!I9</f>
        <v>25.892880000000002</v>
      </c>
      <c r="J9" s="161">
        <f>'Charges de structure'!J9</f>
        <v>26.998999999999999</v>
      </c>
      <c r="K9" s="67"/>
      <c r="L9" s="24"/>
      <c r="M9" s="25"/>
      <c r="N9" s="715"/>
      <c r="O9" s="107"/>
      <c r="P9" s="592"/>
      <c r="Q9" s="593"/>
      <c r="R9" s="594"/>
      <c r="S9" s="595"/>
      <c r="T9" s="596"/>
      <c r="U9" s="597"/>
    </row>
    <row r="10" spans="1:21" ht="15" customHeight="1" x14ac:dyDescent="0.35">
      <c r="A10" s="37">
        <v>6140</v>
      </c>
      <c r="B10" s="647" t="s">
        <v>182</v>
      </c>
      <c r="C10" s="775">
        <f>SUM('Charges de structure'!C10)</f>
        <v>9.1669999999999998</v>
      </c>
      <c r="D10" s="612">
        <f>SUM('Charges de structure'!D10)</f>
        <v>11.739000000000001</v>
      </c>
      <c r="E10" s="634">
        <f>SUM('Charges de structure'!E10)</f>
        <v>19.495999999999999</v>
      </c>
      <c r="F10" s="168">
        <f>'Charges de structure'!F10</f>
        <v>10.06809</v>
      </c>
      <c r="G10" s="347">
        <f>'Charges de structure'!G10</f>
        <v>6.1</v>
      </c>
      <c r="H10" s="169">
        <f>'Charges de structure'!H10</f>
        <v>5.22417</v>
      </c>
      <c r="I10" s="247">
        <f>'Charges de structure'!I10</f>
        <v>11.406319999999999</v>
      </c>
      <c r="J10" s="167">
        <f>'Charges de structure'!J10</f>
        <v>10.063000000000001</v>
      </c>
      <c r="K10" s="67"/>
      <c r="L10" s="24"/>
      <c r="M10" s="25" t="s">
        <v>92</v>
      </c>
      <c r="N10" s="713">
        <f>SUM('Vie associative'!N12)</f>
        <v>4.3150000000000004</v>
      </c>
      <c r="O10" s="703">
        <f>SUM('Vie associative'!O12)</f>
        <v>4.5599999999999996</v>
      </c>
      <c r="P10" s="598">
        <f>SUM('Vie associative'!P12)</f>
        <v>4.22</v>
      </c>
      <c r="Q10" s="599">
        <f>'Vie associative'!Q12</f>
        <v>3.78</v>
      </c>
      <c r="R10" s="455">
        <f>'Vie associative'!R12</f>
        <v>4.3</v>
      </c>
      <c r="S10" s="600">
        <f>'Vie associative'!S12</f>
        <v>4.78</v>
      </c>
      <c r="T10" s="601">
        <f>'Vie associative'!T12</f>
        <v>5.18</v>
      </c>
      <c r="U10" s="602">
        <f>'Vie associative'!U12</f>
        <v>5.26</v>
      </c>
    </row>
    <row r="11" spans="1:21" ht="15" customHeight="1" x14ac:dyDescent="0.35">
      <c r="A11" s="37">
        <v>6155</v>
      </c>
      <c r="B11" s="166" t="s">
        <v>86</v>
      </c>
      <c r="C11" s="775">
        <f>SUM('Charges de structure'!C12:C12)</f>
        <v>9.1820000000000004</v>
      </c>
      <c r="D11" s="612">
        <f>SUM('Charges de structure'!D12:D12)</f>
        <v>9.0039999999999996</v>
      </c>
      <c r="E11" s="634">
        <f>SUM('Charges de structure'!E12:E12)</f>
        <v>14.584</v>
      </c>
      <c r="F11" s="168">
        <f>'Charges de structure'!F12</f>
        <v>9.1197099999999995</v>
      </c>
      <c r="G11" s="347">
        <f>'Charges de structure'!G12</f>
        <v>11.1</v>
      </c>
      <c r="H11" s="169">
        <f>'Charges de structure'!H12</f>
        <v>9.1078200000000002</v>
      </c>
      <c r="I11" s="247">
        <f>'Charges de structure'!I12</f>
        <v>8.9834300000000002</v>
      </c>
      <c r="J11" s="167">
        <f>'Charges de structure'!J12</f>
        <v>9.4960000000000004</v>
      </c>
      <c r="K11" s="67"/>
      <c r="L11" s="257" t="s">
        <v>22</v>
      </c>
      <c r="M11" s="258"/>
      <c r="N11" s="761">
        <f t="shared" ref="N11:U11" si="4">SUM(N8:N10)</f>
        <v>37.134999999999998</v>
      </c>
      <c r="O11" s="753">
        <f t="shared" si="4"/>
        <v>37.550000000000004</v>
      </c>
      <c r="P11" s="570">
        <f t="shared" si="4"/>
        <v>35.841000000000001</v>
      </c>
      <c r="Q11" s="577">
        <f t="shared" si="4"/>
        <v>33.268999999999998</v>
      </c>
      <c r="R11" s="430">
        <f t="shared" si="4"/>
        <v>34</v>
      </c>
      <c r="S11" s="578">
        <f t="shared" si="4"/>
        <v>35.012999999999998</v>
      </c>
      <c r="T11" s="579">
        <f t="shared" si="4"/>
        <v>35.643000000000001</v>
      </c>
      <c r="U11" s="580">
        <f t="shared" si="4"/>
        <v>36.274000000000001</v>
      </c>
    </row>
    <row r="12" spans="1:21" ht="15" customHeight="1" x14ac:dyDescent="0.35">
      <c r="A12" s="36">
        <v>6160</v>
      </c>
      <c r="B12" s="175" t="s">
        <v>87</v>
      </c>
      <c r="C12" s="775">
        <f>SUM('Charges de structure'!C13)</f>
        <v>17.795999999999999</v>
      </c>
      <c r="D12" s="612">
        <f>SUM('Charges de structure'!D13)</f>
        <v>15.705</v>
      </c>
      <c r="E12" s="634">
        <f>SUM('Charges de structure'!E13)</f>
        <v>15.60558</v>
      </c>
      <c r="F12" s="168">
        <f>'Charges de structure'!F13</f>
        <v>12.969659999999999</v>
      </c>
      <c r="G12" s="347">
        <f>'Charges de structure'!G13</f>
        <v>16.100000000000001</v>
      </c>
      <c r="H12" s="169">
        <f>'Charges de structure'!H13</f>
        <v>15.447950000000001</v>
      </c>
      <c r="I12" s="247">
        <f>'Charges de structure'!I13</f>
        <v>13.306290000000001</v>
      </c>
      <c r="J12" s="167">
        <f>'Charges de structure'!J13</f>
        <v>14.9</v>
      </c>
      <c r="K12" s="67"/>
      <c r="L12" s="24"/>
      <c r="M12" s="24"/>
      <c r="N12" s="716"/>
      <c r="O12" s="106"/>
      <c r="P12" s="603"/>
      <c r="Q12" s="582"/>
      <c r="R12" s="459"/>
      <c r="S12" s="604"/>
      <c r="T12" s="605"/>
      <c r="U12" s="606"/>
    </row>
    <row r="13" spans="1:21" ht="15" customHeight="1" x14ac:dyDescent="0.35">
      <c r="A13" s="37">
        <v>6210</v>
      </c>
      <c r="B13" s="166" t="s">
        <v>88</v>
      </c>
      <c r="C13" s="775">
        <f>SUM('Charges de structure'!C14)</f>
        <v>19.901</v>
      </c>
      <c r="D13" s="612">
        <f>SUM('Charges de structure'!D14)</f>
        <v>10.14</v>
      </c>
      <c r="E13" s="634">
        <f>SUM('Charges de structure'!E14)</f>
        <v>95.65</v>
      </c>
      <c r="F13" s="168">
        <f>'Charges de structure'!F14</f>
        <v>15.85994</v>
      </c>
      <c r="G13" s="347">
        <f>'Charges de structure'!G14</f>
        <v>16.100000000000001</v>
      </c>
      <c r="H13" s="169">
        <f>'Charges de structure'!H14</f>
        <v>23.533670000000001</v>
      </c>
      <c r="I13" s="247">
        <f>'Charges de structure'!I14</f>
        <v>41.995229999999999</v>
      </c>
      <c r="J13" s="167">
        <f>'Charges de structure'!J14</f>
        <v>26.51</v>
      </c>
      <c r="K13" s="67"/>
      <c r="L13" s="24"/>
      <c r="M13" s="25" t="s">
        <v>23</v>
      </c>
      <c r="N13" s="711">
        <f>SUM('Activité scrabble'!D10)</f>
        <v>424.77100000000002</v>
      </c>
      <c r="O13" s="701">
        <f>SUM('Activité scrabble'!G10)</f>
        <v>362.54399999999998</v>
      </c>
      <c r="P13" s="586">
        <f>SUM('Activité scrabble'!J10)</f>
        <v>342.11099999999999</v>
      </c>
      <c r="Q13" s="587">
        <f>'Activité scrabble'!N10</f>
        <v>282.51675</v>
      </c>
      <c r="R13" s="588">
        <f>'Activité scrabble'!R10</f>
        <v>80.5</v>
      </c>
      <c r="S13" s="589">
        <f>'Activité scrabble'!V10</f>
        <v>217.47274999999999</v>
      </c>
      <c r="T13" s="590">
        <f>'Activité scrabble'!Z10</f>
        <v>440.66449999999998</v>
      </c>
      <c r="U13" s="591">
        <f>'Activité scrabble'!AD10</f>
        <v>447.92500000000001</v>
      </c>
    </row>
    <row r="14" spans="1:21" ht="15" customHeight="1" x14ac:dyDescent="0.35">
      <c r="A14" s="37">
        <v>6226</v>
      </c>
      <c r="B14" s="166" t="s">
        <v>89</v>
      </c>
      <c r="C14" s="775">
        <f>SUM('Charges de structure'!C15)</f>
        <v>2.6840000000000002</v>
      </c>
      <c r="D14" s="612">
        <f>SUM('Charges de structure'!D15)</f>
        <v>4.2629999999999999</v>
      </c>
      <c r="E14" s="634">
        <f>SUM('Charges de structure'!E15)</f>
        <v>5.6660000000000004</v>
      </c>
      <c r="F14" s="168">
        <f>'Charges de structure'!F15</f>
        <v>3.8323900000000002</v>
      </c>
      <c r="G14" s="347">
        <f>'Charges de structure'!G15</f>
        <v>3.1</v>
      </c>
      <c r="H14" s="169">
        <f>'Charges de structure'!H15</f>
        <v>2.8506999999999998</v>
      </c>
      <c r="I14" s="247">
        <f>'Charges de structure'!I15</f>
        <v>4.4915599999999998</v>
      </c>
      <c r="J14" s="167">
        <f>'Charges de structure'!J15</f>
        <v>4.7370000000000001</v>
      </c>
      <c r="K14" s="67"/>
      <c r="L14" s="24"/>
      <c r="M14" s="25" t="s">
        <v>25</v>
      </c>
      <c r="N14" s="763">
        <f>SUM('Activité scrabble'!D19)</f>
        <v>96.105000000000018</v>
      </c>
      <c r="O14" s="754">
        <f>SUM('Activité scrabble'!G19)</f>
        <v>84.302000000000007</v>
      </c>
      <c r="P14" s="607">
        <f>SUM('Activité scrabble'!J19)</f>
        <v>111.85400000000001</v>
      </c>
      <c r="Q14" s="608">
        <f>'Activité scrabble'!N19</f>
        <v>65.173999999999992</v>
      </c>
      <c r="R14" s="609">
        <f>'Activité scrabble'!R19</f>
        <v>8.3000000000000007</v>
      </c>
      <c r="S14" s="610">
        <f>'Activité scrabble'!V19</f>
        <v>53.45</v>
      </c>
      <c r="T14" s="611">
        <f>'Activité scrabble'!Z19</f>
        <v>138.53913</v>
      </c>
      <c r="U14" s="612">
        <f>'Activité scrabble'!AD19</f>
        <v>93.542999999999992</v>
      </c>
    </row>
    <row r="15" spans="1:21" ht="15" customHeight="1" x14ac:dyDescent="0.35">
      <c r="A15" s="411" t="s">
        <v>166</v>
      </c>
      <c r="B15" s="166" t="s">
        <v>90</v>
      </c>
      <c r="C15" s="775">
        <f>SUM('Charges de structure'!C16)</f>
        <v>12.55</v>
      </c>
      <c r="D15" s="612">
        <f>SUM('Charges de structure'!D16)</f>
        <v>21.513000000000002</v>
      </c>
      <c r="E15" s="634">
        <f>SUM('Charges de structure'!E16)</f>
        <v>24.504999999999999</v>
      </c>
      <c r="F15" s="168">
        <f>'Charges de structure'!F16</f>
        <v>21.346789999999999</v>
      </c>
      <c r="G15" s="347">
        <f>'Charges de structure'!G16</f>
        <v>23.4</v>
      </c>
      <c r="H15" s="169">
        <f>'Charges de structure'!H16</f>
        <v>18.720490000000002</v>
      </c>
      <c r="I15" s="268">
        <f>'Charges de structure'!I16</f>
        <v>24.937840000000001</v>
      </c>
      <c r="J15" s="167">
        <f>'Charges de structure'!J16</f>
        <v>24.628</v>
      </c>
      <c r="K15" s="67"/>
      <c r="L15" s="24"/>
      <c r="M15" s="25" t="s">
        <v>26</v>
      </c>
      <c r="N15" s="763">
        <f>SUM('Activité scrabble'!D26)</f>
        <v>26.384</v>
      </c>
      <c r="O15" s="754">
        <f>SUM('Activité scrabble'!G26)</f>
        <v>111.521</v>
      </c>
      <c r="P15" s="607">
        <f>SUM('Activité scrabble'!J26)</f>
        <v>25.372</v>
      </c>
      <c r="Q15" s="608">
        <f>'Activité scrabble'!N26</f>
        <v>21.616</v>
      </c>
      <c r="R15" s="609">
        <f>'Activité scrabble'!R26</f>
        <v>1.5</v>
      </c>
      <c r="S15" s="610">
        <f>'Activité scrabble'!V26</f>
        <v>22.781000000000002</v>
      </c>
      <c r="T15" s="611">
        <f>'Activité scrabble'!Z26</f>
        <v>113.16093000000001</v>
      </c>
      <c r="U15" s="612">
        <f>'Activité scrabble'!AD26</f>
        <v>29.138000000000002</v>
      </c>
    </row>
    <row r="16" spans="1:21" ht="15" customHeight="1" x14ac:dyDescent="0.35">
      <c r="A16" s="37"/>
      <c r="B16" s="171" t="s">
        <v>91</v>
      </c>
      <c r="C16" s="777">
        <f>'Charges de structure'!C19</f>
        <v>0.95899999999999996</v>
      </c>
      <c r="D16" s="602">
        <f>'Charges de structure'!D19</f>
        <v>0.79100000000000004</v>
      </c>
      <c r="E16" s="552">
        <v>0.5</v>
      </c>
      <c r="F16" s="177">
        <f>'Charges de structure'!F19</f>
        <v>0.45710000000000001</v>
      </c>
      <c r="G16" s="346">
        <f>'Charges de structure'!G19</f>
        <v>0.4</v>
      </c>
      <c r="H16" s="173">
        <f>'Charges de structure'!H19</f>
        <v>0.3</v>
      </c>
      <c r="I16" s="208">
        <f>'Charges de structure'!I19</f>
        <v>0.27805000000000002</v>
      </c>
      <c r="J16" s="176">
        <f>'Charges de structure'!J19</f>
        <v>0.53600000000000003</v>
      </c>
      <c r="K16" s="67"/>
      <c r="L16" s="24"/>
      <c r="M16" s="25" t="s">
        <v>57</v>
      </c>
      <c r="N16" s="763">
        <f>SUM('Activité scrabble'!D30,'Activité scrabble'!D41)</f>
        <v>118.446</v>
      </c>
      <c r="O16" s="754">
        <f>SUM('Activité scrabble'!G30,'Activité scrabble'!G41)</f>
        <v>117.78699999999999</v>
      </c>
      <c r="P16" s="607">
        <f>SUM('Activité scrabble'!J30,'Activité scrabble'!J41)</f>
        <v>110.58800000000001</v>
      </c>
      <c r="Q16" s="608">
        <f>'Activité scrabble'!N30+'Activité scrabble'!N41</f>
        <v>105.1345</v>
      </c>
      <c r="R16" s="609">
        <f>'Activité scrabble'!R30+'Activité scrabble'!R41</f>
        <v>59.7</v>
      </c>
      <c r="S16" s="610">
        <f>'Activité scrabble'!V30+'Activité scrabble'!V41</f>
        <v>92.744439999999997</v>
      </c>
      <c r="T16" s="611">
        <f>'Activité scrabble'!Z30+'Activité scrabble'!Z41</f>
        <v>134.62248</v>
      </c>
      <c r="U16" s="612">
        <f>'Activité scrabble'!AD30+'Activité scrabble'!AD41</f>
        <v>137.58100000000002</v>
      </c>
    </row>
    <row r="17" spans="1:24" ht="15" customHeight="1" thickBot="1" x14ac:dyDescent="0.4">
      <c r="A17" s="808" t="s">
        <v>29</v>
      </c>
      <c r="B17" s="809"/>
      <c r="C17" s="761">
        <f t="shared" ref="C17" si="5">SUM(C9:C16)</f>
        <v>95.801000000000002</v>
      </c>
      <c r="D17" s="753">
        <f t="shared" ref="D17" si="6">SUM(D9:D16)</f>
        <v>97.664000000000016</v>
      </c>
      <c r="E17" s="570">
        <f t="shared" ref="E17:J17" si="7">SUM(E9:E16)</f>
        <v>200.70758000000001</v>
      </c>
      <c r="F17" s="112">
        <f t="shared" si="7"/>
        <v>98.252369999999999</v>
      </c>
      <c r="G17" s="344">
        <f t="shared" si="7"/>
        <v>100.70000000000002</v>
      </c>
      <c r="H17" s="115">
        <f t="shared" si="7"/>
        <v>98.281060000000011</v>
      </c>
      <c r="I17" s="203">
        <f t="shared" si="7"/>
        <v>131.29159999999999</v>
      </c>
      <c r="J17" s="121">
        <f t="shared" si="7"/>
        <v>117.869</v>
      </c>
      <c r="K17" s="67"/>
      <c r="L17" s="24"/>
      <c r="M17" s="25" t="s">
        <v>58</v>
      </c>
      <c r="N17" s="764">
        <f>SUM('Activité scrabble'!D34)</f>
        <v>65.317000000000007</v>
      </c>
      <c r="O17" s="755">
        <f>SUM('Activité scrabble'!G34)</f>
        <v>65.134</v>
      </c>
      <c r="P17" s="613">
        <f>SUM('Activité scrabble'!J34)</f>
        <v>65.981999999999999</v>
      </c>
      <c r="Q17" s="599">
        <f>'Activité scrabble'!N34</f>
        <v>50.690000000000005</v>
      </c>
      <c r="R17" s="455">
        <f>'Activité scrabble'!R34</f>
        <v>7.4</v>
      </c>
      <c r="S17" s="600">
        <f>'Activité scrabble'!V34</f>
        <v>36.432500000000005</v>
      </c>
      <c r="T17" s="601">
        <f>'Activité scrabble'!Z34</f>
        <v>68.830250000000007</v>
      </c>
      <c r="U17" s="602">
        <f>'Activité scrabble'!AD34</f>
        <v>66.593000000000004</v>
      </c>
    </row>
    <row r="18" spans="1:24" ht="7.75" customHeight="1" x14ac:dyDescent="0.35">
      <c r="A18" s="36"/>
      <c r="B18" s="36"/>
      <c r="C18" s="749"/>
      <c r="D18" s="101"/>
      <c r="E18" s="603"/>
      <c r="F18" s="111"/>
      <c r="G18" s="342"/>
      <c r="H18" s="116"/>
      <c r="I18" s="109"/>
      <c r="J18" s="101"/>
      <c r="K18" s="66"/>
      <c r="L18" s="820" t="s">
        <v>77</v>
      </c>
      <c r="M18" s="821"/>
      <c r="N18" s="765"/>
      <c r="O18" s="756"/>
      <c r="P18" s="751"/>
      <c r="Q18" s="835">
        <f>SUM(Q13:Q17)</f>
        <v>525.13125000000002</v>
      </c>
      <c r="R18" s="839">
        <f>SUM(R13:R17)</f>
        <v>157.4</v>
      </c>
      <c r="S18" s="837">
        <f>SUM(S13:S17)</f>
        <v>422.88069000000002</v>
      </c>
      <c r="T18" s="833">
        <f t="shared" ref="T18:U18" si="8">SUM(T13:T17)</f>
        <v>895.81728999999996</v>
      </c>
      <c r="U18" s="841">
        <f t="shared" si="8"/>
        <v>774.78</v>
      </c>
    </row>
    <row r="19" spans="1:24" ht="15" customHeight="1" thickBot="1" x14ac:dyDescent="0.4">
      <c r="A19" s="37">
        <v>6256</v>
      </c>
      <c r="B19" s="178" t="s">
        <v>23</v>
      </c>
      <c r="C19" s="704">
        <f>SUM('Activité scrabble'!C10)</f>
        <v>400.64300000000003</v>
      </c>
      <c r="D19" s="696">
        <f>SUM('Activité scrabble'!F10)</f>
        <v>332.12200000000001</v>
      </c>
      <c r="E19" s="614">
        <f>SUM('Activité scrabble'!I10)</f>
        <v>300.26352999999995</v>
      </c>
      <c r="F19" s="162">
        <f>'Activité scrabble'!M10</f>
        <v>269.52409</v>
      </c>
      <c r="G19" s="353">
        <f>'Activité scrabble'!Q10</f>
        <v>87.9</v>
      </c>
      <c r="H19" s="180">
        <f>'Activité scrabble'!U10</f>
        <v>221.37808999999999</v>
      </c>
      <c r="I19" s="204">
        <f>'Activité scrabble'!Y10</f>
        <v>398.25263000000001</v>
      </c>
      <c r="J19" s="165">
        <f>'Activité scrabble'!AC10</f>
        <v>405.84799999999996</v>
      </c>
      <c r="K19" s="67"/>
      <c r="L19" s="820"/>
      <c r="M19" s="821"/>
      <c r="N19" s="766">
        <f>SUM(N13:N17)</f>
        <v>731.02300000000002</v>
      </c>
      <c r="O19" s="757">
        <f>SUM(O13:O17)</f>
        <v>741.28800000000001</v>
      </c>
      <c r="P19" s="752">
        <f>SUM(P13:P17)</f>
        <v>655.90700000000004</v>
      </c>
      <c r="Q19" s="836"/>
      <c r="R19" s="840"/>
      <c r="S19" s="838"/>
      <c r="T19" s="834"/>
      <c r="U19" s="842"/>
    </row>
    <row r="20" spans="1:24" ht="15" customHeight="1" x14ac:dyDescent="0.35">
      <c r="A20" s="37"/>
      <c r="B20" s="166" t="s">
        <v>25</v>
      </c>
      <c r="C20" s="704">
        <f>SUM('Activité scrabble'!C19)</f>
        <v>50.150999999999996</v>
      </c>
      <c r="D20" s="696">
        <f>SUM('Activité scrabble'!F19)</f>
        <v>40.762999999999998</v>
      </c>
      <c r="E20" s="614">
        <f>SUM('Activité scrabble'!I19)</f>
        <v>89.75800000000001</v>
      </c>
      <c r="F20" s="168">
        <f>'Activité scrabble'!M19</f>
        <v>28.65784</v>
      </c>
      <c r="G20" s="347">
        <f>'Activité scrabble'!Q19</f>
        <v>0</v>
      </c>
      <c r="H20" s="181">
        <f>'Activité scrabble'!U19</f>
        <v>1.3931799999999999</v>
      </c>
      <c r="I20" s="247">
        <f>'Activité scrabble'!Y19</f>
        <v>125.30447000000001</v>
      </c>
      <c r="J20" s="167">
        <f>'Activité scrabble'!AC19</f>
        <v>65.524000000000001</v>
      </c>
      <c r="K20" s="67"/>
      <c r="L20" s="24"/>
      <c r="M20" s="24"/>
      <c r="N20" s="716"/>
      <c r="O20" s="106"/>
      <c r="P20" s="603"/>
      <c r="Q20" s="582"/>
      <c r="R20" s="459"/>
      <c r="S20" s="604"/>
      <c r="T20" s="605"/>
      <c r="U20" s="606"/>
    </row>
    <row r="21" spans="1:24" ht="15" customHeight="1" x14ac:dyDescent="0.35">
      <c r="A21" s="36"/>
      <c r="B21" s="175" t="s">
        <v>26</v>
      </c>
      <c r="C21" s="704">
        <f>SUM('Activité scrabble'!C26)</f>
        <v>17.802000000000003</v>
      </c>
      <c r="D21" s="696">
        <f>SUM('Activité scrabble'!F26)</f>
        <v>106.182</v>
      </c>
      <c r="E21" s="614">
        <f>SUM('Activité scrabble'!I26)</f>
        <v>10.922000000000001</v>
      </c>
      <c r="F21" s="168">
        <f>'Activité scrabble'!M26</f>
        <v>6.5265000000000004</v>
      </c>
      <c r="G21" s="347">
        <f>'Activité scrabble'!Q26</f>
        <v>0.7</v>
      </c>
      <c r="H21" s="181">
        <f>'Activité scrabble'!U26</f>
        <v>16.02169</v>
      </c>
      <c r="I21" s="247">
        <f>'Activité scrabble'!Y26</f>
        <v>164.28152000000003</v>
      </c>
      <c r="J21" s="167">
        <f>'Activité scrabble'!AC26</f>
        <v>22.073999999999998</v>
      </c>
      <c r="K21" s="67"/>
      <c r="L21" s="24"/>
      <c r="M21" s="25" t="s">
        <v>59</v>
      </c>
      <c r="N21" s="715"/>
      <c r="O21" s="107"/>
      <c r="P21" s="614">
        <v>0</v>
      </c>
      <c r="Q21" s="572">
        <f>-'Charges de structure'!F11</f>
        <v>0</v>
      </c>
      <c r="R21" s="573">
        <f>-'Charges de structure'!G11</f>
        <v>0</v>
      </c>
      <c r="S21" s="574">
        <f>-'Charges de structure'!H11</f>
        <v>0</v>
      </c>
      <c r="T21" s="575">
        <f>-'Charges de structure'!I11</f>
        <v>1.7</v>
      </c>
      <c r="U21" s="576">
        <f>-'Charges de structure'!J11</f>
        <v>1.5</v>
      </c>
    </row>
    <row r="22" spans="1:24" ht="15" customHeight="1" x14ac:dyDescent="0.35">
      <c r="A22" s="37"/>
      <c r="B22" s="171" t="s">
        <v>32</v>
      </c>
      <c r="C22" s="704">
        <f>SUM('Activité scrabble'!C30,'Activité scrabble'!C41)</f>
        <v>7.8513000000000002</v>
      </c>
      <c r="D22" s="696">
        <f>SUM('Activité scrabble'!F30,'Activité scrabble'!F41)</f>
        <v>7.2241</v>
      </c>
      <c r="E22" s="614">
        <f>SUM('Activité scrabble'!I30,'Activité scrabble'!I41)</f>
        <v>14.4834</v>
      </c>
      <c r="F22" s="177">
        <f>'Activité scrabble'!M41+'Activité scrabble'!M30</f>
        <v>6.6809900000000004</v>
      </c>
      <c r="G22" s="346">
        <f>'Activité scrabble'!Q41+'Activité scrabble'!Q30</f>
        <v>6.2</v>
      </c>
      <c r="H22" s="182">
        <f>'Activité scrabble'!U41+'Activité scrabble'!U30</f>
        <v>8.9153000000000002</v>
      </c>
      <c r="I22" s="208">
        <f>'Activité scrabble'!Y41+'Activité scrabble'!Y30</f>
        <v>6.7341099999999994</v>
      </c>
      <c r="J22" s="176">
        <f>'Activité scrabble'!AC41+'Activité scrabble'!AC30</f>
        <v>6.0640000000000001</v>
      </c>
      <c r="K22" s="67"/>
      <c r="L22" s="814" t="s">
        <v>30</v>
      </c>
      <c r="M22" s="815"/>
      <c r="N22" s="767"/>
      <c r="O22" s="758"/>
      <c r="P22" s="570">
        <f>SUM(P21)</f>
        <v>0</v>
      </c>
      <c r="Q22" s="577">
        <f>SUM(Q21)</f>
        <v>0</v>
      </c>
      <c r="R22" s="430">
        <f>SUM(R21)</f>
        <v>0</v>
      </c>
      <c r="S22" s="578">
        <f>SUM(S21)</f>
        <v>0</v>
      </c>
      <c r="T22" s="579">
        <f t="shared" ref="T22:U22" si="9">SUM(T21)</f>
        <v>1.7</v>
      </c>
      <c r="U22" s="580">
        <f t="shared" si="9"/>
        <v>1.5</v>
      </c>
    </row>
    <row r="23" spans="1:24" ht="15" customHeight="1" x14ac:dyDescent="0.35">
      <c r="A23" s="808" t="s">
        <v>78</v>
      </c>
      <c r="B23" s="809"/>
      <c r="C23" s="685">
        <f t="shared" ref="C23:H23" si="10">SUM(C19:C22)</f>
        <v>476.44730000000004</v>
      </c>
      <c r="D23" s="192">
        <f t="shared" si="10"/>
        <v>486.29110000000003</v>
      </c>
      <c r="E23" s="676">
        <f t="shared" si="10"/>
        <v>415.42693000000003</v>
      </c>
      <c r="F23" s="112">
        <f t="shared" si="10"/>
        <v>311.38942000000003</v>
      </c>
      <c r="G23" s="352">
        <f t="shared" si="10"/>
        <v>94.800000000000011</v>
      </c>
      <c r="H23" s="117">
        <f t="shared" si="10"/>
        <v>247.70826</v>
      </c>
      <c r="I23" s="203">
        <f t="shared" ref="I23:J23" si="11">SUM(I19:I22)</f>
        <v>694.57272999999998</v>
      </c>
      <c r="J23" s="121">
        <f t="shared" si="11"/>
        <v>499.51</v>
      </c>
      <c r="K23" s="67"/>
      <c r="L23" s="24"/>
      <c r="M23" s="24"/>
      <c r="N23" s="716"/>
      <c r="O23" s="106"/>
      <c r="P23" s="603"/>
      <c r="Q23" s="582"/>
      <c r="R23" s="459"/>
      <c r="S23" s="604"/>
      <c r="T23" s="605"/>
      <c r="U23" s="606"/>
    </row>
    <row r="24" spans="1:24" ht="9" customHeight="1" x14ac:dyDescent="0.35">
      <c r="A24" s="36"/>
      <c r="B24" s="36"/>
      <c r="C24" s="776"/>
      <c r="D24" s="606"/>
      <c r="E24" s="550"/>
      <c r="F24" s="111"/>
      <c r="G24" s="342"/>
      <c r="H24" s="116"/>
      <c r="I24" s="109"/>
      <c r="J24" s="101"/>
      <c r="K24" s="66"/>
      <c r="N24" s="762"/>
      <c r="O24" s="139"/>
      <c r="P24" s="615"/>
      <c r="Q24" s="582"/>
      <c r="R24" s="459"/>
      <c r="S24" s="583"/>
      <c r="T24" s="584"/>
      <c r="U24" s="585"/>
    </row>
    <row r="25" spans="1:24" ht="15" customHeight="1" x14ac:dyDescent="0.35">
      <c r="A25" s="808" t="s">
        <v>193</v>
      </c>
      <c r="B25" s="810"/>
      <c r="C25" s="761">
        <f>SUM('Vie associative'!D33)</f>
        <v>28.274999999999999</v>
      </c>
      <c r="D25" s="753">
        <f>SUM('Vie associative'!E33)</f>
        <v>22.303000000000001</v>
      </c>
      <c r="E25" s="570">
        <f>SUM('Vie associative'!F33)</f>
        <v>29.891160000000003</v>
      </c>
      <c r="F25" s="113">
        <f>'Vie associative'!G33</f>
        <v>14.27816</v>
      </c>
      <c r="G25" s="352">
        <f>'Vie associative'!H33</f>
        <v>10.199999999999999</v>
      </c>
      <c r="H25" s="117">
        <f>'Vie associative'!I33</f>
        <v>37.163429999999998</v>
      </c>
      <c r="I25" s="203">
        <f>'Vie associative'!J33</f>
        <v>41.029889999999995</v>
      </c>
      <c r="J25" s="121">
        <f>'Vie associative'!K33</f>
        <v>49.354000000000006</v>
      </c>
      <c r="K25" s="67"/>
      <c r="L25" s="24"/>
      <c r="M25" s="25" t="s">
        <v>31</v>
      </c>
      <c r="N25" s="715"/>
      <c r="O25" s="107"/>
      <c r="P25" s="614">
        <v>0</v>
      </c>
      <c r="Q25" s="572">
        <f>'Vie associative'!Q40</f>
        <v>46.972000000000001</v>
      </c>
      <c r="R25" s="573">
        <f>'Vie associative'!R40</f>
        <v>117.4</v>
      </c>
      <c r="S25" s="574">
        <f>'Vie associative'!S40</f>
        <v>0</v>
      </c>
      <c r="T25" s="575">
        <f>'Vie associative'!T40</f>
        <v>0</v>
      </c>
      <c r="U25" s="576">
        <f>'Vie associative'!U40</f>
        <v>0</v>
      </c>
    </row>
    <row r="26" spans="1:24" ht="15" customHeight="1" x14ac:dyDescent="0.35">
      <c r="A26" s="808" t="s">
        <v>184</v>
      </c>
      <c r="B26" s="809"/>
      <c r="C26" s="761">
        <f>'Vie associative'!D48-'Vie associative'!D45</f>
        <v>40.391999999999982</v>
      </c>
      <c r="D26" s="753">
        <f>'Vie associative'!E48-'Vie associative'!E45</f>
        <v>23.685999999999993</v>
      </c>
      <c r="E26" s="570">
        <f>'Vie associative'!F48-'Vie associative'!F45</f>
        <v>39.484199999999994</v>
      </c>
      <c r="F26" s="113">
        <f>'Vie associative'!G35+'Vie associative'!G36+'Vie associative'!G37+'Vie associative'!G38+'Vie associative'!G42+'Vie associative'!G47</f>
        <v>56.79589</v>
      </c>
      <c r="G26" s="352">
        <f>'Vie associative'!H42+'Vie associative'!H35+'Vie associative'!H36+'Vie associative'!H37+'Vie associative'!H38+'Vie associative'!H46+'Vie associative'!H47</f>
        <v>14.4</v>
      </c>
      <c r="H26" s="117">
        <f>'Vie associative'!I48</f>
        <v>84.508439999999993</v>
      </c>
      <c r="I26" s="203">
        <f>'Vie associative'!J35+'Vie associative'!J36+'Vie associative'!J37+'Vie associative'!J46+'Vie associative'!J47+'Vie associative'!J43</f>
        <v>77.475269999999995</v>
      </c>
      <c r="J26" s="121">
        <f>'Vie associative'!K35+'Vie associative'!K36+'Vie associative'!K37+'Vie associative'!K38+'Vie associative'!K46+'Vie associative'!K47</f>
        <v>78.307000000000002</v>
      </c>
      <c r="K26" s="66"/>
      <c r="L26" s="818" t="s">
        <v>31</v>
      </c>
      <c r="M26" s="819"/>
      <c r="N26" s="767"/>
      <c r="O26" s="758"/>
      <c r="P26" s="570">
        <f>SUM(P25)</f>
        <v>0</v>
      </c>
      <c r="Q26" s="577">
        <f>SUM(Q25)</f>
        <v>46.972000000000001</v>
      </c>
      <c r="R26" s="430">
        <f>SUM(R25)</f>
        <v>117.4</v>
      </c>
      <c r="S26" s="578">
        <f>SUM(S25)</f>
        <v>0</v>
      </c>
      <c r="T26" s="579">
        <f t="shared" ref="T26:U26" si="12">SUM(T25)</f>
        <v>0</v>
      </c>
      <c r="U26" s="580">
        <f t="shared" si="12"/>
        <v>0</v>
      </c>
    </row>
    <row r="27" spans="1:24" ht="9" customHeight="1" x14ac:dyDescent="0.35">
      <c r="A27" s="36"/>
      <c r="B27" s="36"/>
      <c r="C27" s="749"/>
      <c r="D27" s="101"/>
      <c r="E27" s="550"/>
      <c r="F27" s="111"/>
      <c r="G27" s="342"/>
      <c r="H27" s="127"/>
      <c r="I27" s="109"/>
      <c r="J27" s="101"/>
      <c r="K27" s="73"/>
      <c r="N27" s="762"/>
      <c r="O27" s="139"/>
      <c r="P27" s="615"/>
      <c r="Q27" s="582"/>
      <c r="R27" s="459"/>
      <c r="S27" s="583"/>
      <c r="T27" s="584"/>
      <c r="U27" s="585"/>
    </row>
    <row r="28" spans="1:24" ht="15" customHeight="1" x14ac:dyDescent="0.35">
      <c r="A28" s="36">
        <v>6311</v>
      </c>
      <c r="B28" s="183" t="s">
        <v>34</v>
      </c>
      <c r="C28" s="774">
        <f>SUM('Charges de structure'!C28)</f>
        <v>10.664999999999999</v>
      </c>
      <c r="D28" s="591">
        <f>SUM('Charges de structure'!D28)</f>
        <v>8.0950000000000006</v>
      </c>
      <c r="E28" s="633">
        <f>SUM('Charges de structure'!E28)</f>
        <v>6.226</v>
      </c>
      <c r="F28" s="179">
        <f>'Charges de structure'!F28</f>
        <v>5.952</v>
      </c>
      <c r="G28" s="353">
        <f>'Charges de structure'!G28</f>
        <v>7.8</v>
      </c>
      <c r="H28" s="180">
        <f>'Charges de structure'!H28</f>
        <v>6.0149999999999997</v>
      </c>
      <c r="I28" s="204">
        <f>'Charges de structure'!I28</f>
        <v>3.488</v>
      </c>
      <c r="J28" s="165">
        <f>'Charges de structure'!J28</f>
        <v>5.7</v>
      </c>
      <c r="K28" s="67"/>
      <c r="N28" s="762"/>
      <c r="O28" s="139"/>
      <c r="P28" s="615"/>
      <c r="Q28" s="582"/>
      <c r="R28" s="459"/>
      <c r="S28" s="583"/>
      <c r="T28" s="584"/>
      <c r="U28" s="585"/>
      <c r="X28" s="24"/>
    </row>
    <row r="29" spans="1:24" ht="15" customHeight="1" x14ac:dyDescent="0.35">
      <c r="A29" s="37">
        <v>6313</v>
      </c>
      <c r="B29" s="166" t="s">
        <v>35</v>
      </c>
      <c r="C29" s="775">
        <f>SUM('Charges de structure'!C29)</f>
        <v>14.466000000000001</v>
      </c>
      <c r="D29" s="612">
        <f>SUM('Charges de structure'!D29)</f>
        <v>6.6660000000000004</v>
      </c>
      <c r="E29" s="634">
        <f>SUM('Charges de structure'!E29)</f>
        <v>16.036000000000001</v>
      </c>
      <c r="F29" s="184">
        <f>'Charges de structure'!F29</f>
        <v>6.2222</v>
      </c>
      <c r="G29" s="354">
        <f>'Charges de structure'!G29</f>
        <v>5.4</v>
      </c>
      <c r="H29" s="181">
        <f>'Charges de structure'!H29</f>
        <v>4.7991200000000003</v>
      </c>
      <c r="I29" s="205">
        <f>'Charges de structure'!I29</f>
        <v>4.4550000000000001</v>
      </c>
      <c r="J29" s="170">
        <f>'Charges de structure'!J29</f>
        <v>4.1159999999999997</v>
      </c>
      <c r="K29" s="67"/>
      <c r="L29" s="26"/>
      <c r="M29" s="185" t="s">
        <v>60</v>
      </c>
      <c r="N29" s="711">
        <f>-SUM('Charges de structure'!C34)</f>
        <v>0</v>
      </c>
      <c r="O29" s="701">
        <f>-SUM('Charges de structure'!D34)</f>
        <v>0</v>
      </c>
      <c r="P29" s="586">
        <f>-SUM('Charges de structure'!E34)</f>
        <v>3.0870000000000002</v>
      </c>
      <c r="Q29" s="616">
        <f>-'Charges de structure'!F34</f>
        <v>1.1822299999999999</v>
      </c>
      <c r="R29" s="617">
        <f>-'Charges de structure'!G34</f>
        <v>14.2</v>
      </c>
      <c r="S29" s="618">
        <f>-'Charges de structure'!H34</f>
        <v>7.3849999999999998</v>
      </c>
      <c r="T29" s="619">
        <f>-'Charges de structure'!I34</f>
        <v>6.1497900000000003</v>
      </c>
      <c r="U29" s="620">
        <f>-'Charges de structure'!J34</f>
        <v>0.46899999999999997</v>
      </c>
    </row>
    <row r="30" spans="1:24" ht="15" customHeight="1" x14ac:dyDescent="0.35">
      <c r="A30" s="411" t="s">
        <v>167</v>
      </c>
      <c r="B30" s="171" t="s">
        <v>36</v>
      </c>
      <c r="C30" s="777">
        <f>SUM('Charges de structure'!C17:C18)</f>
        <v>6.3120000000000003</v>
      </c>
      <c r="D30" s="602">
        <f>SUM('Charges de structure'!D17:D18)</f>
        <v>7.8660000000000005</v>
      </c>
      <c r="E30" s="552">
        <f>SUM('Charges de structure'!E17:E18)</f>
        <v>69.680000000000007</v>
      </c>
      <c r="F30" s="172">
        <f>'Charges de structure'!F17</f>
        <v>8.7279999999999998</v>
      </c>
      <c r="G30" s="355">
        <f>'Charges de structure'!G17</f>
        <v>8.4</v>
      </c>
      <c r="H30" s="182">
        <f>'Charges de structure'!H17</f>
        <v>8.3919999999999995</v>
      </c>
      <c r="I30" s="206">
        <f>'Charges de structure'!I17</f>
        <v>8.5969999999999995</v>
      </c>
      <c r="J30" s="174">
        <f>'Charges de structure'!J17</f>
        <v>7.633</v>
      </c>
      <c r="K30" s="67"/>
      <c r="L30" s="26"/>
      <c r="M30" s="413" t="s">
        <v>155</v>
      </c>
      <c r="N30" s="713">
        <f>-SUM('Charges de structure'!C32:C33)</f>
        <v>0</v>
      </c>
      <c r="O30" s="703">
        <f>-SUM('Charges de structure'!D32:D33)</f>
        <v>0</v>
      </c>
      <c r="P30" s="598">
        <f>-SUM('Charges de structure'!E32:E33)</f>
        <v>3.4249999999999998</v>
      </c>
      <c r="Q30" s="621">
        <f>-'Charges de structure'!F32-'Charges de structure'!F33</f>
        <v>38.431339999999999</v>
      </c>
      <c r="R30" s="622">
        <f>-'Charges de structure'!G32</f>
        <v>88.9</v>
      </c>
      <c r="S30" s="623"/>
      <c r="T30" s="624">
        <f>-'Charges de structure'!I32</f>
        <v>6.7588200000000001</v>
      </c>
      <c r="U30" s="625">
        <f>-'Charges de structure'!J32</f>
        <v>0</v>
      </c>
      <c r="X30" s="24"/>
    </row>
    <row r="31" spans="1:24" ht="15" customHeight="1" x14ac:dyDescent="0.35">
      <c r="A31" s="808" t="s">
        <v>154</v>
      </c>
      <c r="B31" s="809"/>
      <c r="C31" s="761">
        <f t="shared" ref="C31:H31" si="13">SUM(C28:C30)</f>
        <v>31.443000000000001</v>
      </c>
      <c r="D31" s="753">
        <f t="shared" si="13"/>
        <v>22.627000000000002</v>
      </c>
      <c r="E31" s="570">
        <f t="shared" si="13"/>
        <v>91.942000000000007</v>
      </c>
      <c r="F31" s="112">
        <f t="shared" si="13"/>
        <v>20.902200000000001</v>
      </c>
      <c r="G31" s="352">
        <f t="shared" si="13"/>
        <v>21.6</v>
      </c>
      <c r="H31" s="117">
        <f t="shared" si="13"/>
        <v>19.206119999999999</v>
      </c>
      <c r="I31" s="203">
        <f t="shared" ref="I31:J31" si="14">SUM(I28:I30)</f>
        <v>16.54</v>
      </c>
      <c r="J31" s="121">
        <f t="shared" si="14"/>
        <v>17.448999999999998</v>
      </c>
      <c r="K31" s="67"/>
      <c r="L31" s="824" t="s">
        <v>33</v>
      </c>
      <c r="M31" s="825"/>
      <c r="N31" s="761">
        <f t="shared" ref="N31:S31" si="15">SUM(N29:N30)</f>
        <v>0</v>
      </c>
      <c r="O31" s="753">
        <f t="shared" si="15"/>
        <v>0</v>
      </c>
      <c r="P31" s="570">
        <f t="shared" si="15"/>
        <v>6.5120000000000005</v>
      </c>
      <c r="Q31" s="577">
        <f t="shared" si="15"/>
        <v>39.613569999999996</v>
      </c>
      <c r="R31" s="430">
        <f t="shared" si="15"/>
        <v>103.10000000000001</v>
      </c>
      <c r="S31" s="578">
        <f t="shared" si="15"/>
        <v>7.3849999999999998</v>
      </c>
      <c r="T31" s="579">
        <f t="shared" ref="T31:U31" si="16">SUM(T29:T30)</f>
        <v>12.908609999999999</v>
      </c>
      <c r="U31" s="580">
        <f t="shared" si="16"/>
        <v>0.46899999999999997</v>
      </c>
    </row>
    <row r="32" spans="1:24" ht="9" customHeight="1" x14ac:dyDescent="0.35">
      <c r="A32" s="36"/>
      <c r="B32" s="36"/>
      <c r="C32" s="706"/>
      <c r="D32" s="103"/>
      <c r="E32" s="603"/>
      <c r="F32" s="111"/>
      <c r="G32" s="342"/>
      <c r="H32" s="127"/>
      <c r="I32" s="109"/>
      <c r="J32" s="101"/>
      <c r="K32" s="66"/>
      <c r="L32" s="24"/>
      <c r="M32" s="24"/>
      <c r="N32" s="716"/>
      <c r="O32" s="106"/>
      <c r="P32" s="603"/>
      <c r="Q32" s="582"/>
      <c r="R32" s="459"/>
      <c r="S32" s="604"/>
      <c r="T32" s="605"/>
      <c r="U32" s="606"/>
    </row>
    <row r="33" spans="1:21" ht="15" customHeight="1" x14ac:dyDescent="0.35">
      <c r="A33" s="37">
        <v>641</v>
      </c>
      <c r="B33" s="160" t="s">
        <v>37</v>
      </c>
      <c r="C33" s="774">
        <f>SUM('Charges de structure'!C24)</f>
        <v>313</v>
      </c>
      <c r="D33" s="591">
        <f>SUM('Charges de structure'!D24)</f>
        <v>312.67899999999997</v>
      </c>
      <c r="E33" s="633">
        <f>SUM('Charges de structure'!E24)</f>
        <v>277.57400000000001</v>
      </c>
      <c r="F33" s="179">
        <f>'Charges de structure'!F24</f>
        <v>262.47210999999999</v>
      </c>
      <c r="G33" s="353">
        <f>'Charges de structure'!G24</f>
        <v>280.10000000000002</v>
      </c>
      <c r="H33" s="180">
        <f>'Charges de structure'!H24</f>
        <v>271.45064000000002</v>
      </c>
      <c r="I33" s="204">
        <f>'Charges de structure'!I24</f>
        <v>236.70164</v>
      </c>
      <c r="J33" s="165">
        <f>'Charges de structure'!J24</f>
        <v>213.37</v>
      </c>
      <c r="K33" s="67"/>
      <c r="L33" s="641" t="s">
        <v>163</v>
      </c>
      <c r="M33" s="637"/>
      <c r="N33" s="768"/>
      <c r="O33" s="759"/>
      <c r="P33" s="642">
        <v>1500</v>
      </c>
      <c r="Q33" s="572"/>
      <c r="R33" s="573"/>
      <c r="S33" s="638"/>
      <c r="T33" s="639"/>
      <c r="U33" s="640"/>
    </row>
    <row r="34" spans="1:21" ht="15" customHeight="1" x14ac:dyDescent="0.35">
      <c r="A34" s="37">
        <v>645</v>
      </c>
      <c r="B34" s="166" t="s">
        <v>38</v>
      </c>
      <c r="C34" s="775">
        <f>SUM('Charges de structure'!C25)</f>
        <v>113.36</v>
      </c>
      <c r="D34" s="612">
        <f>SUM('Charges de structure'!D25)</f>
        <v>107.771</v>
      </c>
      <c r="E34" s="634">
        <f>SUM('Charges de structure'!E25)</f>
        <v>100.232</v>
      </c>
      <c r="F34" s="184">
        <f>'Charges de structure'!F25</f>
        <v>92.608840000000001</v>
      </c>
      <c r="G34" s="354">
        <f>'Charges de structure'!G25</f>
        <v>97.7</v>
      </c>
      <c r="H34" s="181">
        <f>'Charges de structure'!H25</f>
        <v>93.818650000000005</v>
      </c>
      <c r="I34" s="205">
        <f>'Charges de structure'!I25</f>
        <v>89.056359999999998</v>
      </c>
      <c r="J34" s="170">
        <f>'Charges de structure'!J25</f>
        <v>81.956999999999994</v>
      </c>
      <c r="K34" s="67"/>
      <c r="L34" s="824" t="s">
        <v>197</v>
      </c>
      <c r="M34" s="819"/>
      <c r="N34" s="761">
        <f>SUM('Vie associative'!N34:N35)</f>
        <v>12.011000000000001</v>
      </c>
      <c r="O34" s="753">
        <f>SUM('Vie associative'!O34:O35)</f>
        <v>16.574999999999999</v>
      </c>
      <c r="P34" s="570">
        <f>SUM('Vie associative'!P34)</f>
        <v>10.34775</v>
      </c>
      <c r="Q34" s="577">
        <f>'Vie associative'!Q34</f>
        <v>0.83908000000000005</v>
      </c>
      <c r="R34" s="430">
        <f>'Vie associative'!R34</f>
        <v>1</v>
      </c>
      <c r="S34" s="578">
        <f>'Vie associative'!S34</f>
        <v>1.0811500000000001</v>
      </c>
      <c r="T34" s="579">
        <f>'Vie associative'!T34</f>
        <v>1.2852600000000001</v>
      </c>
      <c r="U34" s="580">
        <f>'Vie associative'!U34</f>
        <v>5.8449999999999998</v>
      </c>
    </row>
    <row r="35" spans="1:21" ht="15" customHeight="1" x14ac:dyDescent="0.35">
      <c r="A35" s="37">
        <v>6475</v>
      </c>
      <c r="B35" s="166" t="s">
        <v>39</v>
      </c>
      <c r="C35" s="775">
        <f>SUM('Charges de structure'!C26)</f>
        <v>5.7169999999999996</v>
      </c>
      <c r="D35" s="612">
        <f>SUM('Charges de structure'!D26)</f>
        <v>12.297000000000001</v>
      </c>
      <c r="E35" s="634">
        <f>SUM('Charges de structure'!E26)</f>
        <v>6.4725000000000001</v>
      </c>
      <c r="F35" s="184">
        <f>'Charges de structure'!F26</f>
        <v>2.21347</v>
      </c>
      <c r="G35" s="354">
        <f>'Charges de structure'!G26</f>
        <v>2.8</v>
      </c>
      <c r="H35" s="181">
        <f>'Charges de structure'!H26</f>
        <v>2.7017000000000002</v>
      </c>
      <c r="I35" s="205">
        <f>'Charges de structure'!I26</f>
        <v>2.2450600000000001</v>
      </c>
      <c r="J35" s="170">
        <f>'Charges de structure'!J26</f>
        <v>2.2360000000000002</v>
      </c>
      <c r="K35" s="67"/>
      <c r="L35" s="24"/>
      <c r="M35" s="24"/>
      <c r="N35" s="716"/>
      <c r="O35" s="106"/>
      <c r="P35" s="603"/>
      <c r="Q35" s="582"/>
      <c r="R35" s="459"/>
      <c r="S35" s="604"/>
      <c r="T35" s="605"/>
      <c r="U35" s="606"/>
    </row>
    <row r="36" spans="1:21" ht="15" customHeight="1" x14ac:dyDescent="0.35">
      <c r="A36" s="37">
        <v>6481</v>
      </c>
      <c r="B36" s="171" t="s">
        <v>40</v>
      </c>
      <c r="C36" s="777">
        <f>SUM('Charges de structure'!C27)</f>
        <v>8.1430000000000007</v>
      </c>
      <c r="D36" s="602">
        <f>SUM('Charges de structure'!D27)</f>
        <v>6.1269999999999998</v>
      </c>
      <c r="E36" s="552">
        <f>SUM('Charges de structure'!E27)</f>
        <v>5.173</v>
      </c>
      <c r="F36" s="172">
        <f>'Charges de structure'!F27</f>
        <v>5.0442999999999998</v>
      </c>
      <c r="G36" s="355">
        <f>'Charges de structure'!G27</f>
        <v>5.9</v>
      </c>
      <c r="H36" s="182">
        <f>'Charges de structure'!H27</f>
        <v>5.8950100000000001</v>
      </c>
      <c r="I36" s="206">
        <f>'Charges de structure'!I27</f>
        <v>5.0019600000000004</v>
      </c>
      <c r="J36" s="174">
        <f>'Charges de structure'!J27</f>
        <v>5.0259999999999998</v>
      </c>
      <c r="K36" s="67"/>
      <c r="L36" s="808" t="s">
        <v>151</v>
      </c>
      <c r="M36" s="809"/>
      <c r="N36" s="761">
        <f>SUM('Secteur commercial'!N26)</f>
        <v>8.6340000000000003</v>
      </c>
      <c r="O36" s="753">
        <f>SUM('Secteur commercial'!O26)</f>
        <v>49.212000000000003</v>
      </c>
      <c r="P36" s="570">
        <f>SUM('Secteur commercial'!P26)</f>
        <v>56.171530000000004</v>
      </c>
      <c r="Q36" s="96">
        <f>'Secteur commercial'!Q26</f>
        <v>58.517859999999999</v>
      </c>
      <c r="R36" s="377">
        <f>'Secteur commercial'!R26</f>
        <v>59.800000000000004</v>
      </c>
      <c r="S36" s="626">
        <f>'Secteur commercial'!S26</f>
        <v>81.355339999999998</v>
      </c>
      <c r="T36" s="627">
        <f>'Secteur commercial'!T26</f>
        <v>121.239588</v>
      </c>
      <c r="U36" s="192">
        <f>'Secteur commercial'!U26</f>
        <v>56.93</v>
      </c>
    </row>
    <row r="37" spans="1:21" ht="15" customHeight="1" x14ac:dyDescent="0.35">
      <c r="A37" s="808" t="s">
        <v>41</v>
      </c>
      <c r="B37" s="809"/>
      <c r="C37" s="761">
        <f t="shared" ref="C37:H37" si="17">SUM(C33:C36)</f>
        <v>440.22</v>
      </c>
      <c r="D37" s="753">
        <f t="shared" si="17"/>
        <v>438.87400000000002</v>
      </c>
      <c r="E37" s="570">
        <f t="shared" si="17"/>
        <v>389.45150000000007</v>
      </c>
      <c r="F37" s="112">
        <f t="shared" si="17"/>
        <v>362.33871999999997</v>
      </c>
      <c r="G37" s="352">
        <f t="shared" si="17"/>
        <v>386.5</v>
      </c>
      <c r="H37" s="117">
        <f t="shared" si="17"/>
        <v>373.86600000000004</v>
      </c>
      <c r="I37" s="203">
        <f t="shared" ref="I37:J37" si="18">SUM(I33:I36)</f>
        <v>333.00502</v>
      </c>
      <c r="J37" s="121">
        <f t="shared" si="18"/>
        <v>302.589</v>
      </c>
      <c r="K37" s="67"/>
      <c r="L37" s="24"/>
      <c r="N37" s="762"/>
      <c r="O37" s="139"/>
      <c r="P37" s="560"/>
      <c r="Q37" s="465"/>
      <c r="S37" s="116"/>
      <c r="U37" s="266"/>
    </row>
    <row r="38" spans="1:21" ht="9" customHeight="1" x14ac:dyDescent="0.35">
      <c r="A38" s="37"/>
      <c r="B38" s="37"/>
      <c r="C38" s="749"/>
      <c r="D38" s="101"/>
      <c r="E38" s="550"/>
      <c r="F38" s="111"/>
      <c r="G38" s="342"/>
      <c r="H38" s="127"/>
      <c r="I38" s="109"/>
      <c r="J38" s="101"/>
      <c r="K38" s="66"/>
      <c r="L38" s="26"/>
      <c r="N38" s="762"/>
      <c r="O38" s="139"/>
      <c r="P38" s="560"/>
      <c r="Q38" s="465"/>
      <c r="S38" s="116"/>
      <c r="U38" s="266"/>
    </row>
    <row r="39" spans="1:21" ht="15" customHeight="1" x14ac:dyDescent="0.35">
      <c r="A39" s="37">
        <v>6580</v>
      </c>
      <c r="B39" s="412" t="s">
        <v>156</v>
      </c>
      <c r="C39" s="774">
        <f>SUM('Charges de structure'!C20)</f>
        <v>3.02</v>
      </c>
      <c r="D39" s="591">
        <f>SUM('Charges de structure'!D20)</f>
        <v>11.591999999999999</v>
      </c>
      <c r="E39" s="633">
        <f>SUM('Charges de structure'!E20)</f>
        <v>21.612000000000002</v>
      </c>
      <c r="F39" s="162">
        <f>'Charges de structure'!F20</f>
        <v>-19.52</v>
      </c>
      <c r="G39" s="353">
        <f>'Charges de structure'!G20</f>
        <v>30.2</v>
      </c>
      <c r="H39" s="180">
        <f>'Charges de structure'!H20+'Charges de structure'!H32</f>
        <v>5.6182299999999996</v>
      </c>
      <c r="I39" s="204">
        <f>'Charges de structure'!I20</f>
        <v>1.36124</v>
      </c>
      <c r="J39" s="165">
        <f>'Charges de structure'!J20</f>
        <v>0.69599999999999995</v>
      </c>
      <c r="K39" s="67"/>
      <c r="L39" s="24"/>
      <c r="M39" s="24"/>
      <c r="N39" s="716"/>
      <c r="O39" s="106"/>
      <c r="P39" s="559"/>
      <c r="Q39" s="111"/>
      <c r="S39" s="116"/>
      <c r="T39" s="109"/>
      <c r="U39" s="106"/>
    </row>
    <row r="40" spans="1:21" ht="15" customHeight="1" thickBot="1" x14ac:dyDescent="0.4">
      <c r="A40" s="37">
        <v>6715</v>
      </c>
      <c r="B40" s="171" t="s">
        <v>31</v>
      </c>
      <c r="C40" s="777">
        <f>SUM('Vie associative'!D45)</f>
        <v>92.614999999999995</v>
      </c>
      <c r="D40" s="602">
        <f>SUM('Vie associative'!E45)</f>
        <v>58.307000000000002</v>
      </c>
      <c r="E40" s="552">
        <f>SUM('Vie associative'!F45)</f>
        <v>59.383749999999999</v>
      </c>
      <c r="F40" s="172">
        <f>'Vie associative'!G45</f>
        <v>55.60322</v>
      </c>
      <c r="G40" s="355">
        <f>'Vie associative'!H45</f>
        <v>0</v>
      </c>
      <c r="H40" s="182">
        <f>'Vie associative'!I45</f>
        <v>0</v>
      </c>
      <c r="I40" s="206">
        <f>'Vie associative'!J45</f>
        <v>45.798270000000002</v>
      </c>
      <c r="J40" s="174">
        <f>'Vie associative'!K45</f>
        <v>59.381</v>
      </c>
      <c r="K40" s="67"/>
      <c r="L40" s="24"/>
      <c r="M40" s="24"/>
      <c r="N40" s="716"/>
      <c r="O40" s="106"/>
      <c r="P40" s="559"/>
      <c r="Q40" s="111"/>
      <c r="S40" s="116"/>
      <c r="T40" s="109"/>
      <c r="U40" s="106"/>
    </row>
    <row r="41" spans="1:21" ht="15" customHeight="1" thickTop="1" x14ac:dyDescent="0.35">
      <c r="A41" s="808" t="s">
        <v>42</v>
      </c>
      <c r="B41" s="809"/>
      <c r="C41" s="761">
        <f t="shared" ref="C41:H41" si="19">SUM(C39:C40)</f>
        <v>95.634999999999991</v>
      </c>
      <c r="D41" s="753">
        <f t="shared" si="19"/>
        <v>69.899000000000001</v>
      </c>
      <c r="E41" s="570">
        <f t="shared" si="19"/>
        <v>80.995750000000001</v>
      </c>
      <c r="F41" s="112">
        <f t="shared" si="19"/>
        <v>36.083219999999997</v>
      </c>
      <c r="G41" s="352">
        <f t="shared" si="19"/>
        <v>30.2</v>
      </c>
      <c r="H41" s="117">
        <f t="shared" si="19"/>
        <v>5.6182299999999996</v>
      </c>
      <c r="I41" s="203">
        <f t="shared" ref="I41:J41" si="20">SUM(I39:I40)</f>
        <v>47.159510000000004</v>
      </c>
      <c r="J41" s="121">
        <f t="shared" si="20"/>
        <v>60.076999999999998</v>
      </c>
      <c r="K41" s="67"/>
      <c r="L41" s="24"/>
      <c r="M41" s="828" t="s">
        <v>199</v>
      </c>
      <c r="N41" s="769"/>
      <c r="O41" s="750"/>
      <c r="P41" s="561"/>
      <c r="Q41" s="111"/>
      <c r="R41" s="811">
        <f>N47-C47</f>
        <v>-66.706299999999828</v>
      </c>
      <c r="S41" s="116"/>
      <c r="U41" s="106"/>
    </row>
    <row r="42" spans="1:21" ht="8.25" customHeight="1" x14ac:dyDescent="0.35">
      <c r="A42" s="37"/>
      <c r="B42" s="37"/>
      <c r="C42" s="706"/>
      <c r="D42" s="103"/>
      <c r="E42" s="603"/>
      <c r="F42" s="111"/>
      <c r="G42" s="342"/>
      <c r="H42" s="127"/>
      <c r="I42" s="109"/>
      <c r="J42" s="101"/>
      <c r="K42" s="66"/>
      <c r="L42" s="26"/>
      <c r="M42" s="829"/>
      <c r="N42" s="769"/>
      <c r="O42" s="750"/>
      <c r="P42" s="561"/>
      <c r="Q42" s="111"/>
      <c r="R42" s="812"/>
      <c r="S42" s="116"/>
      <c r="U42" s="106"/>
    </row>
    <row r="43" spans="1:21" ht="15" customHeight="1" thickBot="1" x14ac:dyDescent="0.4">
      <c r="A43" s="808" t="s">
        <v>44</v>
      </c>
      <c r="B43" s="809"/>
      <c r="C43" s="761">
        <f>SUM('Charges de structure'!C21)</f>
        <v>86.686999999999998</v>
      </c>
      <c r="D43" s="753">
        <f>SUM('Charges de structure'!D21)</f>
        <v>105.19</v>
      </c>
      <c r="E43" s="570">
        <f>SUM('Charges de structure'!E21)</f>
        <v>109.922</v>
      </c>
      <c r="F43" s="113">
        <f>'Charges de structure'!F21</f>
        <v>57.51097</v>
      </c>
      <c r="G43" s="352">
        <f>'Charges de structure'!G21</f>
        <v>36.5</v>
      </c>
      <c r="H43" s="117">
        <f>'Charges de structure'!H21</f>
        <v>48.482709999999997</v>
      </c>
      <c r="I43" s="203">
        <f>'Charges de structure'!I21</f>
        <v>31.054459999999999</v>
      </c>
      <c r="J43" s="121">
        <f>'Charges de structure'!J21</f>
        <v>27.704000000000001</v>
      </c>
      <c r="K43" s="67"/>
      <c r="L43" s="24"/>
      <c r="M43" s="830"/>
      <c r="N43" s="769"/>
      <c r="O43" s="750"/>
      <c r="P43" s="561"/>
      <c r="Q43" s="111"/>
      <c r="R43" s="813"/>
      <c r="S43" s="116"/>
      <c r="U43" s="106"/>
    </row>
    <row r="44" spans="1:21" ht="9" customHeight="1" thickTop="1" x14ac:dyDescent="0.35">
      <c r="A44" s="264"/>
      <c r="B44" s="264"/>
      <c r="C44" s="778"/>
      <c r="D44" s="771"/>
      <c r="E44" s="551"/>
      <c r="F44" s="475"/>
      <c r="G44" s="356"/>
      <c r="H44" s="128"/>
      <c r="I44" s="265"/>
      <c r="J44" s="147"/>
      <c r="K44" s="67"/>
      <c r="L44" s="24"/>
      <c r="M44" s="24"/>
      <c r="N44" s="716"/>
      <c r="O44" s="106"/>
      <c r="P44" s="559"/>
      <c r="Q44" s="111"/>
      <c r="S44" s="116"/>
      <c r="T44" s="109"/>
      <c r="U44" s="106"/>
    </row>
    <row r="45" spans="1:21" ht="15" customHeight="1" x14ac:dyDescent="0.35">
      <c r="A45" s="808" t="s">
        <v>151</v>
      </c>
      <c r="B45" s="809"/>
      <c r="C45" s="761">
        <f>SUM('Secteur commercial'!D26)</f>
        <v>54.150000000000006</v>
      </c>
      <c r="D45" s="753">
        <f>SUM('Secteur commercial'!E26)</f>
        <v>92.763000000000005</v>
      </c>
      <c r="E45" s="570">
        <f>SUM('Secteur commercial'!F26)</f>
        <v>93.010519999999985</v>
      </c>
      <c r="F45" s="98">
        <f>'Secteur commercial'!G26</f>
        <v>71.537230000000008</v>
      </c>
      <c r="G45" s="348">
        <f>'Secteur commercial'!H26</f>
        <v>87.6</v>
      </c>
      <c r="H45" s="348">
        <f>'Secteur commercial'!I26</f>
        <v>100.7244</v>
      </c>
      <c r="I45" s="250">
        <f>'Secteur commercial'!J26</f>
        <v>159.65145000000001</v>
      </c>
      <c r="J45" s="125">
        <f>'Secteur commercial'!K26</f>
        <v>63.270999999999994</v>
      </c>
      <c r="K45" s="66"/>
      <c r="L45" s="26"/>
      <c r="M45" s="26"/>
      <c r="N45" s="716"/>
      <c r="O45" s="106"/>
      <c r="P45" s="559"/>
      <c r="Q45" s="111"/>
      <c r="S45" s="116"/>
      <c r="T45" s="109"/>
      <c r="U45" s="106"/>
    </row>
    <row r="46" spans="1:21" ht="9" customHeight="1" x14ac:dyDescent="0.35">
      <c r="A46" s="37"/>
      <c r="B46" s="37"/>
      <c r="C46" s="776"/>
      <c r="D46" s="606"/>
      <c r="E46" s="550"/>
      <c r="F46" s="111"/>
      <c r="G46" s="342"/>
      <c r="H46" s="127"/>
      <c r="I46" s="109"/>
      <c r="J46" s="101"/>
      <c r="K46" s="67"/>
      <c r="L46" s="24"/>
      <c r="M46" s="24"/>
      <c r="N46" s="716"/>
      <c r="O46" s="106"/>
      <c r="P46" s="559"/>
      <c r="Q46" s="111"/>
      <c r="S46" s="116"/>
      <c r="T46" s="109"/>
      <c r="U46" s="106"/>
    </row>
    <row r="47" spans="1:21" ht="15" customHeight="1" x14ac:dyDescent="0.35">
      <c r="A47" s="826" t="s">
        <v>45</v>
      </c>
      <c r="B47" s="827"/>
      <c r="C47" s="714">
        <f>SUM(C6,C17,C23,C25,C26,C31,C37,C41,C43,C45)</f>
        <v>1365.5572999999999</v>
      </c>
      <c r="D47" s="105">
        <f>SUM(D6,D17,D23,D25,D26,D31,D37,D41,D43,D45)</f>
        <v>1384.2040999999999</v>
      </c>
      <c r="E47" s="555">
        <f>SUM(E6,E17,E23,E25,E26,E31,E37,E41,E43,E45)</f>
        <v>1461.5076400000003</v>
      </c>
      <c r="F47" s="95">
        <f>F6+F17+F23+F25+F26+F31+F37+F41+F43+F45</f>
        <v>1035.3725299999999</v>
      </c>
      <c r="G47" s="357">
        <f>G6+G17+G23+G25+G26+G31+G37+G41+G43+G45</f>
        <v>787.70000000000016</v>
      </c>
      <c r="H47" s="118">
        <f>H6+H17+H23+H25+H26+H31+H37+H41+H43+H45</f>
        <v>1022.4349100000002</v>
      </c>
      <c r="I47" s="207">
        <f>I6+I17+I23+I25+I26+I31+I37+I41+I43+I45</f>
        <v>1540.24729</v>
      </c>
      <c r="J47" s="122">
        <f>J6+J17+J23+J25+J26+J31+J37+J41+J43+J45</f>
        <v>1225.7169999999999</v>
      </c>
      <c r="K47" s="66"/>
      <c r="L47" s="831" t="s">
        <v>46</v>
      </c>
      <c r="M47" s="832"/>
      <c r="N47" s="770">
        <f>SUM(N5,N11,N19,N22,N26,N31,N33,N34,N36)</f>
        <v>1298.8510000000001</v>
      </c>
      <c r="O47" s="122">
        <f>SUM(O5,O11,O19,O22,O26,O31,O33,O34,O36)</f>
        <v>1230.9370000000001</v>
      </c>
      <c r="P47" s="562">
        <f>SUM(P5,P11,P19,P22,P26,P31,P33,P34,P36)</f>
        <v>2631.3322800000001</v>
      </c>
      <c r="Q47" s="466">
        <f>Q5+Q11+Q18+Q22+Q26+Q31+Q34+Q36</f>
        <v>1055.21876</v>
      </c>
      <c r="R47" s="461">
        <f>R5+R11+R18+R22+R26+R31+R34+R36</f>
        <v>804.5</v>
      </c>
      <c r="S47" s="136">
        <f>S5+S11+S18+S22+S26+S31+S34+S36</f>
        <v>960.79417999999998</v>
      </c>
      <c r="T47" s="249">
        <f>T5+T11+T18+T22+T26+T31+T34+T36</f>
        <v>1469.872748</v>
      </c>
      <c r="U47" s="140">
        <f>U5+U11+U18+U22+U26+U31+U34+U36</f>
        <v>1282.9080000000001</v>
      </c>
    </row>
    <row r="48" spans="1:21" ht="15" customHeight="1" x14ac:dyDescent="0.35">
      <c r="A48" s="36"/>
      <c r="B48" s="35"/>
      <c r="C48" s="779"/>
      <c r="D48" s="772"/>
      <c r="E48" s="569"/>
      <c r="F48" s="114"/>
      <c r="G48" s="358"/>
      <c r="H48" s="128"/>
      <c r="I48" s="110"/>
      <c r="J48" s="123"/>
      <c r="K48" s="73"/>
      <c r="L48" s="27"/>
      <c r="M48" s="27"/>
      <c r="N48" s="27"/>
      <c r="O48" s="27"/>
      <c r="P48" s="519"/>
      <c r="S48" s="116"/>
      <c r="T48" s="109"/>
      <c r="U48" s="106"/>
    </row>
    <row r="49" spans="1:22" ht="13.5" customHeight="1" x14ac:dyDescent="0.35">
      <c r="A49" s="822" t="s">
        <v>53</v>
      </c>
      <c r="B49" s="823"/>
      <c r="C49" s="635">
        <f t="shared" ref="C49:J49" si="21">N47-C47</f>
        <v>-66.706299999999828</v>
      </c>
      <c r="D49" s="773">
        <f t="shared" si="21"/>
        <v>-153.2670999999998</v>
      </c>
      <c r="E49" s="635">
        <f t="shared" si="21"/>
        <v>1169.8246399999998</v>
      </c>
      <c r="F49" s="464">
        <f t="shared" si="21"/>
        <v>19.846230000000105</v>
      </c>
      <c r="G49" s="462">
        <f t="shared" si="21"/>
        <v>16.799999999999841</v>
      </c>
      <c r="H49" s="120">
        <f t="shared" si="21"/>
        <v>-61.64073000000019</v>
      </c>
      <c r="I49" s="248">
        <f t="shared" si="21"/>
        <v>-70.374542000000019</v>
      </c>
      <c r="J49" s="198">
        <f t="shared" si="21"/>
        <v>57.191000000000258</v>
      </c>
      <c r="K49" s="73"/>
      <c r="L49" s="94"/>
      <c r="M49" s="94"/>
      <c r="N49" s="94"/>
      <c r="O49" s="94"/>
      <c r="P49" s="558"/>
      <c r="Q49" s="351"/>
      <c r="R49" s="138"/>
      <c r="S49" s="137"/>
      <c r="T49" s="135"/>
      <c r="U49" s="134"/>
    </row>
    <row r="50" spans="1:22" ht="15" customHeight="1" x14ac:dyDescent="0.35">
      <c r="A50" s="38"/>
      <c r="B50" s="2"/>
      <c r="C50" s="2"/>
      <c r="D50" s="2"/>
      <c r="E50" s="563"/>
      <c r="F50" s="358"/>
      <c r="G50" s="132"/>
      <c r="H50" s="119"/>
      <c r="I50" s="110"/>
      <c r="J50" s="123"/>
      <c r="K50" s="73"/>
      <c r="L50" s="94"/>
      <c r="Q50" s="351"/>
      <c r="R50" s="138"/>
      <c r="S50" s="137"/>
      <c r="T50" s="135"/>
      <c r="U50" s="134"/>
      <c r="V50" s="14"/>
    </row>
    <row r="51" spans="1:22" ht="9" customHeight="1" x14ac:dyDescent="0.35">
      <c r="A51" s="38"/>
      <c r="B51" s="2"/>
      <c r="C51" s="2"/>
      <c r="D51" s="2"/>
      <c r="E51" s="2"/>
      <c r="F51" s="358"/>
      <c r="G51" s="132"/>
      <c r="H51" s="119"/>
      <c r="I51" s="110"/>
      <c r="J51" s="123"/>
      <c r="K51" s="73"/>
      <c r="L51" s="94"/>
      <c r="Q51" s="351"/>
      <c r="R51" s="138"/>
      <c r="S51" s="137"/>
      <c r="T51" s="135"/>
      <c r="U51" s="134"/>
      <c r="V51" s="14"/>
    </row>
  </sheetData>
  <mergeCells count="28">
    <mergeCell ref="T18:T19"/>
    <mergeCell ref="Q18:Q19"/>
    <mergeCell ref="S18:S19"/>
    <mergeCell ref="R18:R19"/>
    <mergeCell ref="U18:U19"/>
    <mergeCell ref="A49:B49"/>
    <mergeCell ref="A43:B43"/>
    <mergeCell ref="L26:M26"/>
    <mergeCell ref="L31:M31"/>
    <mergeCell ref="L34:M34"/>
    <mergeCell ref="A41:B41"/>
    <mergeCell ref="A26:B26"/>
    <mergeCell ref="A47:B47"/>
    <mergeCell ref="L36:M36"/>
    <mergeCell ref="M41:M43"/>
    <mergeCell ref="L47:M47"/>
    <mergeCell ref="A31:B31"/>
    <mergeCell ref="A37:B37"/>
    <mergeCell ref="A45:B45"/>
    <mergeCell ref="A23:B23"/>
    <mergeCell ref="A25:B25"/>
    <mergeCell ref="R41:R43"/>
    <mergeCell ref="L22:M22"/>
    <mergeCell ref="A1:B1"/>
    <mergeCell ref="A6:B6"/>
    <mergeCell ref="A17:B17"/>
    <mergeCell ref="L5:M5"/>
    <mergeCell ref="L18:M19"/>
  </mergeCells>
  <phoneticPr fontId="6" type="noConversion"/>
  <printOptions horizontalCentered="1" verticalCentered="1"/>
  <pageMargins left="0.15748031496062992" right="0.15748031496062992" top="0.31496062992125984" bottom="0.31496062992125984" header="0.31496062992125984" footer="0.31496062992125984"/>
  <pageSetup paperSize="9" scale="80" orientation="landscape" r:id="rId1"/>
  <headerFooter>
    <oddFooter>&amp;L_x000D_&amp;1#&amp;"Aptos"&amp;10&amp;K000000 Data sensitivity - Internal&amp;RPage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54"/>
  <sheetViews>
    <sheetView topLeftCell="A31" workbookViewId="0">
      <selection activeCell="G43" sqref="G43"/>
    </sheetView>
  </sheetViews>
  <sheetFormatPr baseColWidth="10" defaultRowHeight="14.5" x14ac:dyDescent="0.35"/>
  <cols>
    <col min="1" max="1" width="4.54296875" customWidth="1"/>
    <col min="2" max="2" width="6" customWidth="1"/>
    <col min="3" max="3" width="30.54296875" customWidth="1"/>
    <col min="4" max="5" width="9.08984375" customWidth="1"/>
    <col min="6" max="6" width="9.90625" customWidth="1"/>
    <col min="7" max="7" width="9.6328125" style="363" customWidth="1"/>
    <col min="8" max="9" width="9.6328125" style="60" customWidth="1"/>
    <col min="10" max="10" width="9.36328125" style="243" customWidth="1"/>
    <col min="11" max="11" width="9.6328125" style="149" customWidth="1"/>
    <col min="12" max="12" width="3.54296875" style="60" customWidth="1"/>
    <col min="13" max="13" width="22.54296875" style="60" customWidth="1"/>
    <col min="14" max="15" width="8.54296875" style="60" customWidth="1"/>
    <col min="16" max="16" width="11" style="60" customWidth="1"/>
    <col min="17" max="17" width="11" style="342" customWidth="1"/>
    <col min="18" max="18" width="9.6328125" style="61" customWidth="1"/>
    <col min="19" max="19" width="9.6328125" style="60" customWidth="1"/>
    <col min="20" max="20" width="9.08984375" style="243" customWidth="1"/>
    <col min="21" max="21" width="9.6328125" style="60" customWidth="1"/>
    <col min="22" max="22" width="1.453125" customWidth="1"/>
  </cols>
  <sheetData>
    <row r="2" spans="1:23" ht="21" customHeight="1" thickBot="1" x14ac:dyDescent="0.4">
      <c r="A2" s="1"/>
      <c r="B2" s="849" t="s">
        <v>97</v>
      </c>
      <c r="C2" s="849"/>
      <c r="D2" s="509"/>
      <c r="E2" s="509"/>
      <c r="F2" s="509"/>
      <c r="G2" s="359"/>
      <c r="H2" s="76"/>
      <c r="I2" s="76"/>
      <c r="J2" s="245"/>
      <c r="K2" s="143"/>
      <c r="L2" s="76"/>
      <c r="M2" s="76"/>
      <c r="N2" s="76"/>
      <c r="O2" s="76"/>
      <c r="P2" s="76"/>
      <c r="Q2" s="364"/>
      <c r="R2" s="77"/>
      <c r="S2" s="76"/>
      <c r="T2" s="245"/>
      <c r="U2" s="76"/>
    </row>
    <row r="3" spans="1:23" ht="15" customHeight="1" thickTop="1" x14ac:dyDescent="0.35">
      <c r="A3" s="20"/>
      <c r="B3" s="45"/>
      <c r="C3" s="46"/>
      <c r="D3" s="46"/>
      <c r="E3" s="46"/>
      <c r="F3" s="46"/>
      <c r="G3" s="360"/>
      <c r="H3" s="87"/>
      <c r="I3" s="75"/>
      <c r="J3" s="246"/>
      <c r="K3" s="144"/>
      <c r="L3" s="75"/>
      <c r="M3" s="75"/>
      <c r="N3" s="87"/>
      <c r="O3" s="87"/>
      <c r="P3" s="87"/>
      <c r="Q3" s="365"/>
      <c r="R3" s="89"/>
      <c r="S3" s="75"/>
      <c r="T3" s="246"/>
      <c r="U3" s="87"/>
      <c r="V3" s="36"/>
      <c r="W3" s="36"/>
    </row>
    <row r="4" spans="1:23" ht="14.25" customHeight="1" x14ac:dyDescent="0.35">
      <c r="A4" s="20"/>
      <c r="B4" s="47"/>
      <c r="C4" s="852" t="s">
        <v>0</v>
      </c>
      <c r="D4" s="654" t="s">
        <v>17</v>
      </c>
      <c r="E4" s="652" t="s">
        <v>17</v>
      </c>
      <c r="F4" s="520" t="s">
        <v>17</v>
      </c>
      <c r="G4" s="130" t="s">
        <v>17</v>
      </c>
      <c r="H4" s="446" t="s">
        <v>17</v>
      </c>
      <c r="I4" s="68" t="s">
        <v>17</v>
      </c>
      <c r="J4" s="286" t="s">
        <v>17</v>
      </c>
      <c r="K4" s="270" t="s">
        <v>17</v>
      </c>
      <c r="L4" s="62"/>
      <c r="M4" s="843" t="s">
        <v>1</v>
      </c>
      <c r="N4" s="654" t="s">
        <v>17</v>
      </c>
      <c r="O4" s="652" t="s">
        <v>17</v>
      </c>
      <c r="P4" s="516" t="s">
        <v>17</v>
      </c>
      <c r="Q4" s="130" t="s">
        <v>17</v>
      </c>
      <c r="R4" s="438" t="s">
        <v>17</v>
      </c>
      <c r="S4" s="68" t="s">
        <v>17</v>
      </c>
      <c r="T4" s="286" t="s">
        <v>17</v>
      </c>
      <c r="U4" s="270" t="s">
        <v>17</v>
      </c>
      <c r="V4" s="37"/>
      <c r="W4" s="37"/>
    </row>
    <row r="5" spans="1:23" s="2" customFormat="1" x14ac:dyDescent="0.35">
      <c r="A5" s="48"/>
      <c r="B5" s="3"/>
      <c r="C5" s="844"/>
      <c r="D5" s="655" t="s">
        <v>186</v>
      </c>
      <c r="E5" s="653" t="s">
        <v>187</v>
      </c>
      <c r="F5" s="521" t="s">
        <v>168</v>
      </c>
      <c r="G5" s="463" t="s">
        <v>159</v>
      </c>
      <c r="H5" s="447" t="s">
        <v>152</v>
      </c>
      <c r="I5" s="70" t="s">
        <v>144</v>
      </c>
      <c r="J5" s="287" t="s">
        <v>136</v>
      </c>
      <c r="K5" s="271" t="s">
        <v>118</v>
      </c>
      <c r="L5" s="63"/>
      <c r="M5" s="844"/>
      <c r="N5" s="655" t="s">
        <v>186</v>
      </c>
      <c r="O5" s="653" t="s">
        <v>187</v>
      </c>
      <c r="P5" s="517" t="s">
        <v>165</v>
      </c>
      <c r="Q5" s="463" t="s">
        <v>159</v>
      </c>
      <c r="R5" s="439" t="s">
        <v>152</v>
      </c>
      <c r="S5" s="70" t="s">
        <v>144</v>
      </c>
      <c r="T5" s="287" t="s">
        <v>136</v>
      </c>
      <c r="U5" s="271" t="s">
        <v>118</v>
      </c>
      <c r="V5" s="35"/>
      <c r="W5" s="35"/>
    </row>
    <row r="6" spans="1:23" ht="9" customHeight="1" x14ac:dyDescent="0.35">
      <c r="A6" s="20"/>
      <c r="B6" s="49"/>
      <c r="C6" s="49"/>
      <c r="D6" s="49"/>
      <c r="E6" s="49"/>
      <c r="F6" s="49"/>
      <c r="G6" s="467"/>
      <c r="H6" s="448"/>
      <c r="I6" s="22"/>
      <c r="J6" s="88"/>
      <c r="K6" s="145"/>
      <c r="L6" s="51"/>
      <c r="M6" s="24"/>
      <c r="N6" s="24"/>
      <c r="O6" s="24"/>
      <c r="P6" s="24"/>
      <c r="Q6" s="477"/>
      <c r="R6" s="342"/>
      <c r="S6" s="7"/>
      <c r="T6" s="90"/>
      <c r="U6" s="106"/>
      <c r="V6" s="37"/>
      <c r="W6" s="37"/>
    </row>
    <row r="7" spans="1:23" x14ac:dyDescent="0.35">
      <c r="A7" s="50"/>
      <c r="B7" s="49"/>
      <c r="C7" s="216" t="s">
        <v>2</v>
      </c>
      <c r="D7" s="736">
        <v>2.823</v>
      </c>
      <c r="E7" s="725">
        <v>0.311</v>
      </c>
      <c r="F7" s="566">
        <v>1.0862400000000001</v>
      </c>
      <c r="G7" s="468">
        <v>2.6219999999999999</v>
      </c>
      <c r="H7" s="449">
        <v>1.9</v>
      </c>
      <c r="I7" s="217">
        <v>6.1555299999999997</v>
      </c>
      <c r="J7" s="335">
        <v>5.4129199999999997</v>
      </c>
      <c r="K7" s="273">
        <v>10.978</v>
      </c>
      <c r="L7" s="51"/>
      <c r="M7" s="25" t="s">
        <v>3</v>
      </c>
      <c r="N7" s="715">
        <v>510.048</v>
      </c>
      <c r="O7" s="107">
        <v>386.31200000000001</v>
      </c>
      <c r="P7" s="518">
        <v>366.553</v>
      </c>
      <c r="Q7" s="478">
        <v>350.87599999999998</v>
      </c>
      <c r="R7" s="343">
        <v>331.8</v>
      </c>
      <c r="S7" s="93">
        <v>413.07900000000001</v>
      </c>
      <c r="T7" s="299">
        <v>401.279</v>
      </c>
      <c r="U7" s="107">
        <v>407.11</v>
      </c>
      <c r="V7" s="37"/>
      <c r="W7" s="37"/>
    </row>
    <row r="8" spans="1:23" x14ac:dyDescent="0.35">
      <c r="A8" s="50"/>
      <c r="B8" s="49"/>
      <c r="C8" s="218" t="s">
        <v>62</v>
      </c>
      <c r="D8" s="737">
        <v>1.782</v>
      </c>
      <c r="E8" s="726">
        <v>8.3719999999999999</v>
      </c>
      <c r="F8" s="567">
        <v>5.13748</v>
      </c>
      <c r="G8" s="469">
        <v>1.6051500000000001</v>
      </c>
      <c r="H8" s="450">
        <v>1.6</v>
      </c>
      <c r="I8" s="220">
        <v>6.3363100000000001</v>
      </c>
      <c r="J8" s="307">
        <v>9.3810500000000001</v>
      </c>
      <c r="K8" s="237">
        <v>10.122</v>
      </c>
      <c r="L8" s="51"/>
      <c r="M8" s="24"/>
      <c r="N8" s="716"/>
      <c r="O8" s="106"/>
      <c r="P8" s="519"/>
      <c r="Q8" s="477"/>
      <c r="R8" s="342"/>
      <c r="S8" s="7"/>
      <c r="T8" s="303"/>
      <c r="U8" s="106"/>
      <c r="V8" s="37"/>
      <c r="W8" s="37"/>
    </row>
    <row r="9" spans="1:23" x14ac:dyDescent="0.35">
      <c r="A9" s="50"/>
      <c r="B9" s="49"/>
      <c r="C9" s="218" t="s">
        <v>55</v>
      </c>
      <c r="D9" s="737"/>
      <c r="E9" s="726"/>
      <c r="F9" s="567">
        <v>2.5129999999999999</v>
      </c>
      <c r="G9" s="469"/>
      <c r="H9" s="450"/>
      <c r="I9" s="220">
        <v>0.33610000000000001</v>
      </c>
      <c r="J9" s="307"/>
      <c r="K9" s="237"/>
      <c r="L9" s="51"/>
      <c r="M9" s="24"/>
      <c r="N9" s="716"/>
      <c r="O9" s="106"/>
      <c r="P9" s="519"/>
      <c r="Q9" s="477"/>
      <c r="R9" s="342"/>
      <c r="S9" s="7"/>
      <c r="T9" s="303"/>
      <c r="U9" s="106"/>
      <c r="V9" s="37"/>
      <c r="W9" s="37"/>
    </row>
    <row r="10" spans="1:23" x14ac:dyDescent="0.35">
      <c r="A10" s="50"/>
      <c r="B10" s="49"/>
      <c r="C10" s="218" t="s">
        <v>4</v>
      </c>
      <c r="D10" s="737">
        <v>12.718</v>
      </c>
      <c r="E10" s="726">
        <v>8.375</v>
      </c>
      <c r="F10" s="567">
        <v>12.54176</v>
      </c>
      <c r="G10" s="469">
        <v>5.0805600000000002</v>
      </c>
      <c r="H10" s="450">
        <v>2.6</v>
      </c>
      <c r="I10" s="220">
        <v>17.512630000000001</v>
      </c>
      <c r="J10" s="307">
        <v>15.87163</v>
      </c>
      <c r="K10" s="237">
        <v>13.858000000000001</v>
      </c>
      <c r="L10" s="51"/>
      <c r="M10" s="25" t="s">
        <v>5</v>
      </c>
      <c r="N10" s="715">
        <v>32.82</v>
      </c>
      <c r="O10" s="107">
        <v>32.99</v>
      </c>
      <c r="P10" s="518">
        <v>31.620999999999999</v>
      </c>
      <c r="Q10" s="478">
        <v>29.489000000000001</v>
      </c>
      <c r="R10" s="343">
        <v>29.7</v>
      </c>
      <c r="S10" s="93">
        <v>30.233000000000001</v>
      </c>
      <c r="T10" s="299">
        <v>30.463000000000001</v>
      </c>
      <c r="U10" s="107">
        <v>31.013999999999999</v>
      </c>
      <c r="V10" s="37"/>
      <c r="W10" s="37"/>
    </row>
    <row r="11" spans="1:23" x14ac:dyDescent="0.35">
      <c r="A11" s="50"/>
      <c r="B11" s="49"/>
      <c r="C11" s="218" t="s">
        <v>6</v>
      </c>
      <c r="D11" s="737">
        <v>1.63</v>
      </c>
      <c r="E11" s="726">
        <v>1.869</v>
      </c>
      <c r="F11" s="567">
        <v>1.39395</v>
      </c>
      <c r="G11" s="469">
        <v>0.98624999999999996</v>
      </c>
      <c r="H11" s="450">
        <v>1.9</v>
      </c>
      <c r="I11" s="220">
        <v>1.23377</v>
      </c>
      <c r="J11" s="307">
        <v>1.3329200000000001</v>
      </c>
      <c r="K11" s="237">
        <v>1.0169999999999999</v>
      </c>
      <c r="L11" s="51"/>
      <c r="M11" s="24"/>
      <c r="N11" s="716"/>
      <c r="O11" s="106"/>
      <c r="P11" s="519"/>
      <c r="Q11" s="479"/>
      <c r="R11" s="342"/>
      <c r="S11" s="7"/>
      <c r="T11" s="304"/>
      <c r="U11" s="106"/>
      <c r="V11" s="37"/>
      <c r="W11" s="37"/>
    </row>
    <row r="12" spans="1:23" x14ac:dyDescent="0.35">
      <c r="A12" s="50"/>
      <c r="B12" s="49"/>
      <c r="C12" s="221" t="s">
        <v>7</v>
      </c>
      <c r="D12" s="738"/>
      <c r="E12" s="727"/>
      <c r="F12" s="720">
        <v>0</v>
      </c>
      <c r="G12" s="470"/>
      <c r="H12" s="451"/>
      <c r="I12" s="223"/>
      <c r="J12" s="308">
        <v>1.21E-2</v>
      </c>
      <c r="K12" s="282">
        <v>0.38900000000000001</v>
      </c>
      <c r="L12" s="51"/>
      <c r="M12" s="25" t="s">
        <v>8</v>
      </c>
      <c r="N12" s="715">
        <v>4.3150000000000004</v>
      </c>
      <c r="O12" s="107">
        <v>4.5599999999999996</v>
      </c>
      <c r="P12" s="518">
        <v>4.22</v>
      </c>
      <c r="Q12" s="478">
        <v>3.78</v>
      </c>
      <c r="R12" s="343">
        <v>4.3</v>
      </c>
      <c r="S12" s="93">
        <v>4.78</v>
      </c>
      <c r="T12" s="299">
        <v>5.18</v>
      </c>
      <c r="U12" s="107">
        <v>5.26</v>
      </c>
      <c r="V12" s="37"/>
      <c r="W12" s="37"/>
    </row>
    <row r="13" spans="1:23" s="2" customFormat="1" x14ac:dyDescent="0.35">
      <c r="A13" s="52"/>
      <c r="B13" s="224" t="s">
        <v>9</v>
      </c>
      <c r="C13" s="224"/>
      <c r="D13" s="739">
        <f t="shared" ref="D13:I13" si="0">SUM(D7:D12)</f>
        <v>18.952999999999999</v>
      </c>
      <c r="E13" s="643">
        <f t="shared" si="0"/>
        <v>18.927</v>
      </c>
      <c r="F13" s="721">
        <f t="shared" si="0"/>
        <v>22.672430000000002</v>
      </c>
      <c r="G13" s="471">
        <f t="shared" si="0"/>
        <v>10.29396</v>
      </c>
      <c r="H13" s="452">
        <f t="shared" si="0"/>
        <v>8</v>
      </c>
      <c r="I13" s="226">
        <f t="shared" si="0"/>
        <v>31.574339999999999</v>
      </c>
      <c r="J13" s="309">
        <f t="shared" ref="J13:K13" si="1">SUM(J7:J12)</f>
        <v>32.010619999999996</v>
      </c>
      <c r="K13" s="225">
        <f t="shared" si="1"/>
        <v>36.364000000000004</v>
      </c>
      <c r="L13" s="53"/>
      <c r="M13" s="64"/>
      <c r="N13" s="717"/>
      <c r="O13" s="133"/>
      <c r="P13" s="64"/>
      <c r="Q13" s="475"/>
      <c r="R13" s="358"/>
      <c r="S13" s="19"/>
      <c r="T13" s="305"/>
      <c r="U13" s="133"/>
      <c r="V13" s="35"/>
      <c r="W13" s="35"/>
    </row>
    <row r="14" spans="1:23" ht="10.5" customHeight="1" x14ac:dyDescent="0.35">
      <c r="A14" s="50"/>
      <c r="B14" s="49"/>
      <c r="C14" s="49"/>
      <c r="D14" s="740"/>
      <c r="E14" s="728"/>
      <c r="F14" s="564"/>
      <c r="G14" s="467"/>
      <c r="H14" s="448"/>
      <c r="I14" s="22"/>
      <c r="J14" s="310"/>
      <c r="K14" s="145"/>
      <c r="L14" s="51"/>
      <c r="M14" s="24"/>
      <c r="N14" s="716"/>
      <c r="O14" s="106"/>
      <c r="P14" s="24"/>
      <c r="Q14" s="477"/>
      <c r="R14" s="342"/>
      <c r="S14" s="7"/>
      <c r="T14" s="303"/>
      <c r="U14" s="106"/>
      <c r="V14" s="37"/>
      <c r="W14" s="37"/>
    </row>
    <row r="15" spans="1:23" x14ac:dyDescent="0.35">
      <c r="A15" s="50"/>
      <c r="B15" s="49"/>
      <c r="C15" s="216" t="s">
        <v>12</v>
      </c>
      <c r="D15" s="736">
        <v>0.2</v>
      </c>
      <c r="E15" s="725">
        <v>7.0000000000000007E-2</v>
      </c>
      <c r="F15" s="566">
        <v>0.19749</v>
      </c>
      <c r="G15" s="468"/>
      <c r="H15" s="449"/>
      <c r="I15" s="217"/>
      <c r="J15" s="335">
        <v>0.41033999999999998</v>
      </c>
      <c r="K15" s="273">
        <v>0.875</v>
      </c>
      <c r="L15" s="4"/>
      <c r="M15" s="26"/>
      <c r="N15" s="716"/>
      <c r="O15" s="106"/>
      <c r="P15" s="26"/>
      <c r="Q15" s="477"/>
      <c r="R15" s="342"/>
      <c r="S15" s="7"/>
      <c r="T15" s="303"/>
      <c r="U15" s="106"/>
      <c r="V15" s="37"/>
      <c r="W15" s="37"/>
    </row>
    <row r="16" spans="1:23" x14ac:dyDescent="0.35">
      <c r="A16" s="50"/>
      <c r="B16" s="49"/>
      <c r="C16" s="218" t="s">
        <v>98</v>
      </c>
      <c r="D16" s="737">
        <v>2.343</v>
      </c>
      <c r="E16" s="726">
        <v>2.4940000000000002</v>
      </c>
      <c r="F16" s="567">
        <v>2.9544600000000001</v>
      </c>
      <c r="G16" s="469">
        <v>2.08778</v>
      </c>
      <c r="H16" s="450">
        <v>0.2</v>
      </c>
      <c r="I16" s="220">
        <v>2.5358100000000001</v>
      </c>
      <c r="J16" s="307">
        <v>4.1493000000000002</v>
      </c>
      <c r="K16" s="237">
        <v>3.4209999999999998</v>
      </c>
      <c r="L16" s="4"/>
      <c r="M16" s="26"/>
      <c r="N16" s="716"/>
      <c r="O16" s="106"/>
      <c r="P16" s="26"/>
      <c r="Q16" s="477"/>
      <c r="R16" s="342"/>
      <c r="S16" s="7"/>
      <c r="T16" s="303"/>
      <c r="U16" s="106"/>
      <c r="V16" s="37"/>
      <c r="W16" s="37"/>
    </row>
    <row r="17" spans="1:23" x14ac:dyDescent="0.35">
      <c r="A17" s="50"/>
      <c r="B17" s="49"/>
      <c r="C17" s="227" t="s">
        <v>109</v>
      </c>
      <c r="D17" s="738">
        <v>0</v>
      </c>
      <c r="E17" s="727">
        <v>0</v>
      </c>
      <c r="F17" s="720">
        <v>0.14000000000000001</v>
      </c>
      <c r="G17" s="470"/>
      <c r="H17" s="451"/>
      <c r="I17" s="223">
        <v>0.60938000000000003</v>
      </c>
      <c r="J17" s="308">
        <v>2.1509200000000002</v>
      </c>
      <c r="K17" s="282">
        <v>1.591</v>
      </c>
      <c r="L17" s="4"/>
      <c r="M17" s="26"/>
      <c r="N17" s="716"/>
      <c r="O17" s="106"/>
      <c r="P17" s="26"/>
      <c r="Q17" s="475"/>
      <c r="R17" s="358"/>
      <c r="S17" s="19"/>
      <c r="T17" s="305"/>
      <c r="U17" s="106"/>
      <c r="V17" s="37"/>
      <c r="W17" s="37"/>
    </row>
    <row r="18" spans="1:23" s="2" customFormat="1" x14ac:dyDescent="0.35">
      <c r="A18" s="52"/>
      <c r="B18" s="224" t="s">
        <v>13</v>
      </c>
      <c r="C18" s="224"/>
      <c r="D18" s="739">
        <f>SUM(D15:D17)</f>
        <v>2.5430000000000001</v>
      </c>
      <c r="E18" s="643">
        <f>SUM(E15:E17)</f>
        <v>2.5640000000000001</v>
      </c>
      <c r="F18" s="721">
        <f>SUM(F15:F17)</f>
        <v>3.2919500000000004</v>
      </c>
      <c r="G18" s="471">
        <f>SUM(G15:G17)</f>
        <v>2.08778</v>
      </c>
      <c r="H18" s="452">
        <f>H15+H16</f>
        <v>0.2</v>
      </c>
      <c r="I18" s="361">
        <f>SUM(I15:I17)</f>
        <v>3.1451900000000004</v>
      </c>
      <c r="J18" s="309">
        <f>SUM(J15:J17)</f>
        <v>6.7105600000000001</v>
      </c>
      <c r="K18" s="225">
        <f>SUM(K15:K17)</f>
        <v>5.8869999999999996</v>
      </c>
      <c r="L18" s="5"/>
      <c r="M18" s="39"/>
      <c r="N18" s="717"/>
      <c r="O18" s="133"/>
      <c r="P18" s="39"/>
      <c r="Q18" s="477"/>
      <c r="R18" s="342"/>
      <c r="S18" s="7"/>
      <c r="T18" s="303"/>
      <c r="U18" s="133"/>
      <c r="V18" s="35"/>
      <c r="W18" s="35"/>
    </row>
    <row r="19" spans="1:23" ht="10.5" customHeight="1" x14ac:dyDescent="0.35">
      <c r="A19" s="50"/>
      <c r="B19" s="49"/>
      <c r="C19" s="49"/>
      <c r="D19" s="740"/>
      <c r="E19" s="728"/>
      <c r="F19" s="564"/>
      <c r="G19" s="467"/>
      <c r="H19" s="448"/>
      <c r="I19" s="22"/>
      <c r="J19" s="310"/>
      <c r="K19" s="145"/>
      <c r="L19" s="4"/>
      <c r="M19" s="26"/>
      <c r="N19" s="716"/>
      <c r="O19" s="106"/>
      <c r="P19" s="26"/>
      <c r="Q19" s="477"/>
      <c r="R19" s="342"/>
      <c r="S19" s="7"/>
      <c r="T19" s="303"/>
      <c r="U19" s="106"/>
      <c r="V19" s="37"/>
      <c r="W19" s="37"/>
    </row>
    <row r="20" spans="1:23" x14ac:dyDescent="0.35">
      <c r="A20" s="50"/>
      <c r="B20" s="49"/>
      <c r="C20" s="228" t="s">
        <v>113</v>
      </c>
      <c r="D20" s="736">
        <v>0.84</v>
      </c>
      <c r="E20" s="725">
        <v>0.3</v>
      </c>
      <c r="F20" s="566">
        <v>0.29899999999999999</v>
      </c>
      <c r="G20" s="468"/>
      <c r="H20" s="449">
        <v>0.4</v>
      </c>
      <c r="I20" s="217">
        <v>0.3453</v>
      </c>
      <c r="J20" s="335">
        <v>0.45984999999999998</v>
      </c>
      <c r="K20" s="273">
        <v>0.4</v>
      </c>
      <c r="L20" s="4"/>
      <c r="M20" s="26"/>
      <c r="N20" s="716"/>
      <c r="O20" s="106"/>
      <c r="P20" s="26"/>
      <c r="Q20" s="477"/>
      <c r="R20" s="342"/>
      <c r="S20" s="7"/>
      <c r="T20" s="303"/>
      <c r="U20" s="106"/>
      <c r="V20" s="37"/>
      <c r="W20" s="37"/>
    </row>
    <row r="21" spans="1:23" x14ac:dyDescent="0.35">
      <c r="A21" s="50"/>
      <c r="B21" s="49"/>
      <c r="C21" s="229" t="s">
        <v>112</v>
      </c>
      <c r="D21" s="741"/>
      <c r="E21" s="729"/>
      <c r="F21" s="722">
        <v>0</v>
      </c>
      <c r="G21" s="469"/>
      <c r="H21" s="450"/>
      <c r="I21" s="220"/>
      <c r="J21" s="307"/>
      <c r="K21" s="219"/>
      <c r="L21" s="4"/>
      <c r="M21" s="26"/>
      <c r="N21" s="716"/>
      <c r="O21" s="106"/>
      <c r="P21" s="26"/>
      <c r="Q21" s="480"/>
      <c r="R21" s="460"/>
      <c r="S21" s="7"/>
      <c r="T21" s="306"/>
      <c r="U21" s="106"/>
      <c r="V21" s="37"/>
      <c r="W21" s="37"/>
    </row>
    <row r="22" spans="1:23" x14ac:dyDescent="0.35">
      <c r="A22" s="50"/>
      <c r="B22" s="49"/>
      <c r="C22" s="229" t="s">
        <v>172</v>
      </c>
      <c r="D22" s="741"/>
      <c r="E22" s="729"/>
      <c r="F22" s="722">
        <v>2E-3</v>
      </c>
      <c r="G22" s="469"/>
      <c r="H22" s="450"/>
      <c r="I22" s="220"/>
      <c r="J22" s="307"/>
      <c r="K22" s="219"/>
      <c r="L22" s="4"/>
      <c r="M22" s="26"/>
      <c r="N22" s="716"/>
      <c r="O22" s="106"/>
      <c r="P22" s="26"/>
      <c r="Q22" s="480"/>
      <c r="R22" s="460"/>
      <c r="S22" s="7"/>
      <c r="T22" s="306"/>
      <c r="U22" s="106"/>
      <c r="V22" s="37"/>
      <c r="W22" s="37"/>
    </row>
    <row r="23" spans="1:23" x14ac:dyDescent="0.35">
      <c r="A23" s="50"/>
      <c r="B23" s="49"/>
      <c r="C23" s="556" t="s">
        <v>171</v>
      </c>
      <c r="D23" s="742"/>
      <c r="E23" s="730"/>
      <c r="F23" s="722">
        <v>0.14000000000000001</v>
      </c>
      <c r="G23" s="469"/>
      <c r="H23" s="450"/>
      <c r="I23" s="220"/>
      <c r="J23" s="307"/>
      <c r="K23" s="219"/>
      <c r="L23" s="4"/>
      <c r="M23" s="65"/>
      <c r="N23" s="718"/>
      <c r="O23" s="215"/>
      <c r="P23" s="65"/>
      <c r="Q23" s="477"/>
      <c r="R23" s="342"/>
      <c r="S23" s="7"/>
      <c r="T23" s="303"/>
      <c r="U23" s="215"/>
      <c r="V23" s="37"/>
      <c r="W23" s="37"/>
    </row>
    <row r="24" spans="1:23" x14ac:dyDescent="0.35">
      <c r="A24" s="50"/>
      <c r="B24" s="49"/>
      <c r="C24" s="218" t="s">
        <v>14</v>
      </c>
      <c r="D24" s="737">
        <v>0.11600000000000001</v>
      </c>
      <c r="E24" s="726">
        <v>0.16300000000000001</v>
      </c>
      <c r="F24" s="567">
        <v>0.14169999999999999</v>
      </c>
      <c r="G24" s="469">
        <v>0.1358</v>
      </c>
      <c r="H24" s="450">
        <v>0.2</v>
      </c>
      <c r="I24" s="220">
        <v>0.2838</v>
      </c>
      <c r="J24" s="307">
        <v>0.52747999999999995</v>
      </c>
      <c r="K24" s="237">
        <v>3.613</v>
      </c>
      <c r="L24" s="4"/>
      <c r="M24" s="26"/>
      <c r="N24" s="716"/>
      <c r="O24" s="106"/>
      <c r="P24" s="26"/>
      <c r="Q24" s="477"/>
      <c r="R24" s="342"/>
      <c r="S24" s="7"/>
      <c r="T24" s="303"/>
      <c r="U24" s="106"/>
      <c r="V24" s="37"/>
      <c r="W24" s="37"/>
    </row>
    <row r="25" spans="1:23" x14ac:dyDescent="0.35">
      <c r="A25" s="50"/>
      <c r="B25" s="49"/>
      <c r="C25" s="218" t="s">
        <v>61</v>
      </c>
      <c r="D25" s="737"/>
      <c r="E25" s="726"/>
      <c r="F25" s="567"/>
      <c r="G25" s="469"/>
      <c r="H25" s="450"/>
      <c r="I25" s="220"/>
      <c r="J25" s="307"/>
      <c r="K25" s="237">
        <v>0.9</v>
      </c>
      <c r="L25" s="4"/>
      <c r="M25" s="26"/>
      <c r="N25" s="716"/>
      <c r="O25" s="106"/>
      <c r="P25" s="26"/>
      <c r="Q25" s="477"/>
      <c r="R25" s="342"/>
      <c r="S25" s="7"/>
      <c r="T25" s="303"/>
      <c r="U25" s="106"/>
      <c r="V25" s="37"/>
      <c r="W25" s="37"/>
    </row>
    <row r="26" spans="1:23" x14ac:dyDescent="0.35">
      <c r="A26" s="50"/>
      <c r="B26" s="49"/>
      <c r="C26" s="218" t="s">
        <v>81</v>
      </c>
      <c r="D26" s="737">
        <v>5.3810000000000002</v>
      </c>
      <c r="E26" s="726">
        <v>0</v>
      </c>
      <c r="F26" s="567">
        <v>3.2855799999999999</v>
      </c>
      <c r="G26" s="469">
        <v>1.7606200000000001</v>
      </c>
      <c r="H26" s="450">
        <v>1.4</v>
      </c>
      <c r="I26" s="220">
        <v>1.8148</v>
      </c>
      <c r="J26" s="307">
        <v>1.27118</v>
      </c>
      <c r="K26" s="237">
        <v>2.16</v>
      </c>
      <c r="L26" s="4"/>
      <c r="M26" s="26"/>
      <c r="N26" s="716"/>
      <c r="O26" s="106"/>
      <c r="P26" s="26"/>
      <c r="Q26" s="477"/>
      <c r="R26" s="342"/>
      <c r="S26" s="7"/>
      <c r="T26" s="303"/>
      <c r="U26" s="106"/>
      <c r="V26" s="37"/>
      <c r="W26" s="37"/>
    </row>
    <row r="27" spans="1:23" x14ac:dyDescent="0.35">
      <c r="A27" s="50"/>
      <c r="B27" s="49"/>
      <c r="C27" s="229" t="s">
        <v>114</v>
      </c>
      <c r="D27" s="741"/>
      <c r="E27" s="729"/>
      <c r="F27" s="722">
        <v>5.8500000000000003E-2</v>
      </c>
      <c r="G27" s="469"/>
      <c r="H27" s="450"/>
      <c r="I27" s="220"/>
      <c r="J27" s="307"/>
      <c r="K27" s="219"/>
      <c r="L27" s="4"/>
      <c r="M27" s="26"/>
      <c r="N27" s="716"/>
      <c r="O27" s="106"/>
      <c r="P27" s="26"/>
      <c r="Q27" s="477"/>
      <c r="R27" s="342"/>
      <c r="S27" s="7"/>
      <c r="T27" s="303"/>
      <c r="U27" s="106"/>
      <c r="V27" s="37"/>
      <c r="W27" s="37"/>
    </row>
    <row r="28" spans="1:23" x14ac:dyDescent="0.35">
      <c r="A28" s="50"/>
      <c r="B28" s="49"/>
      <c r="C28" s="218" t="s">
        <v>79</v>
      </c>
      <c r="D28" s="737">
        <v>0.442</v>
      </c>
      <c r="E28" s="726">
        <v>0.34899999999999998</v>
      </c>
      <c r="F28" s="567"/>
      <c r="G28" s="469"/>
      <c r="H28" s="450"/>
      <c r="I28" s="220"/>
      <c r="J28" s="307">
        <v>5.0200000000000002E-2</v>
      </c>
      <c r="K28" s="237">
        <v>0.03</v>
      </c>
      <c r="L28" s="4"/>
      <c r="M28" s="26"/>
      <c r="N28" s="716"/>
      <c r="O28" s="106"/>
      <c r="P28" s="26"/>
      <c r="Q28" s="477"/>
      <c r="R28" s="342"/>
      <c r="S28" s="7"/>
      <c r="T28" s="303"/>
      <c r="U28" s="106"/>
      <c r="V28" s="37"/>
      <c r="W28" s="37"/>
    </row>
    <row r="29" spans="1:23" x14ac:dyDescent="0.35">
      <c r="A29" s="50"/>
      <c r="B29" s="49"/>
      <c r="C29" s="218" t="s">
        <v>80</v>
      </c>
      <c r="D29" s="737"/>
      <c r="E29" s="726"/>
      <c r="F29" s="567"/>
      <c r="G29" s="469"/>
      <c r="H29" s="450"/>
      <c r="I29" s="220"/>
      <c r="J29" s="307"/>
      <c r="K29" s="237"/>
      <c r="L29" s="4"/>
      <c r="M29" s="26"/>
      <c r="N29" s="716"/>
      <c r="O29" s="106"/>
      <c r="P29" s="26"/>
      <c r="Q29" s="477"/>
      <c r="R29" s="342"/>
      <c r="S29" s="7"/>
      <c r="T29" s="303"/>
      <c r="U29" s="106"/>
      <c r="V29" s="37"/>
      <c r="W29" s="37"/>
    </row>
    <row r="30" spans="1:23" x14ac:dyDescent="0.35">
      <c r="A30" s="50"/>
      <c r="B30" s="49"/>
      <c r="C30" s="230" t="s">
        <v>115</v>
      </c>
      <c r="D30" s="743"/>
      <c r="E30" s="731"/>
      <c r="F30" s="723"/>
      <c r="G30" s="470"/>
      <c r="H30" s="451"/>
      <c r="I30" s="223"/>
      <c r="J30" s="308"/>
      <c r="K30" s="222"/>
      <c r="L30" s="4"/>
      <c r="M30" s="26"/>
      <c r="N30" s="716"/>
      <c r="O30" s="106"/>
      <c r="P30" s="26"/>
      <c r="Q30" s="477"/>
      <c r="R30" s="342"/>
      <c r="S30" s="7"/>
      <c r="T30" s="303"/>
      <c r="U30" s="106"/>
      <c r="V30" s="37"/>
      <c r="W30" s="37"/>
    </row>
    <row r="31" spans="1:23" x14ac:dyDescent="0.35">
      <c r="A31" s="48"/>
      <c r="B31" s="224" t="s">
        <v>15</v>
      </c>
      <c r="C31" s="224"/>
      <c r="D31" s="739">
        <f t="shared" ref="D31:I31" si="2">SUM(D20:D30)</f>
        <v>6.7789999999999999</v>
      </c>
      <c r="E31" s="643">
        <f t="shared" si="2"/>
        <v>0.81199999999999994</v>
      </c>
      <c r="F31" s="721">
        <f t="shared" si="2"/>
        <v>3.9267799999999999</v>
      </c>
      <c r="G31" s="471">
        <f t="shared" si="2"/>
        <v>1.89642</v>
      </c>
      <c r="H31" s="452">
        <f t="shared" si="2"/>
        <v>2</v>
      </c>
      <c r="I31" s="226">
        <f t="shared" si="2"/>
        <v>2.4439000000000002</v>
      </c>
      <c r="J31" s="309">
        <f t="shared" ref="J31:K31" si="3">SUM(J20:J30)</f>
        <v>2.3087099999999996</v>
      </c>
      <c r="K31" s="225">
        <f t="shared" si="3"/>
        <v>7.1030000000000006</v>
      </c>
      <c r="L31" s="4"/>
      <c r="M31" s="26"/>
      <c r="N31" s="716"/>
      <c r="O31" s="106"/>
      <c r="P31" s="26"/>
      <c r="Q31" s="477"/>
      <c r="R31" s="342"/>
      <c r="S31" s="7"/>
      <c r="T31" s="303"/>
      <c r="U31" s="106"/>
      <c r="V31" s="37"/>
      <c r="W31" s="37"/>
    </row>
    <row r="32" spans="1:23" s="2" customFormat="1" ht="10.5" customHeight="1" x14ac:dyDescent="0.35">
      <c r="A32" s="20"/>
      <c r="B32" s="49"/>
      <c r="C32" s="49"/>
      <c r="D32" s="740"/>
      <c r="E32" s="728"/>
      <c r="F32" s="564"/>
      <c r="G32" s="467"/>
      <c r="H32" s="448"/>
      <c r="I32" s="22"/>
      <c r="J32" s="310"/>
      <c r="K32" s="145"/>
      <c r="L32" s="5"/>
      <c r="M32" s="39"/>
      <c r="N32" s="717"/>
      <c r="O32" s="133"/>
      <c r="P32" s="39"/>
      <c r="Q32" s="475"/>
      <c r="R32" s="358"/>
      <c r="S32" s="19"/>
      <c r="T32" s="305"/>
      <c r="U32" s="133"/>
      <c r="V32" s="35"/>
      <c r="W32" s="35"/>
    </row>
    <row r="33" spans="1:23" ht="15" customHeight="1" x14ac:dyDescent="0.35">
      <c r="A33" s="48"/>
      <c r="B33" s="850" t="s">
        <v>104</v>
      </c>
      <c r="C33" s="851"/>
      <c r="D33" s="668">
        <f>SUM(D13,D18,D31)</f>
        <v>28.274999999999999</v>
      </c>
      <c r="E33" s="667">
        <f>SUM(E13,E18,E31)</f>
        <v>22.303000000000001</v>
      </c>
      <c r="F33" s="545">
        <f>SUM(F13,F18,F31)</f>
        <v>29.891160000000003</v>
      </c>
      <c r="G33" s="471">
        <f>G13+G18+G31</f>
        <v>14.27816</v>
      </c>
      <c r="H33" s="452">
        <f>H31+H18+H13</f>
        <v>10.199999999999999</v>
      </c>
      <c r="I33" s="226">
        <f>I31+I18+I13</f>
        <v>37.163429999999998</v>
      </c>
      <c r="J33" s="309">
        <f>J13+J18+J31</f>
        <v>41.029889999999995</v>
      </c>
      <c r="K33" s="643">
        <f>K31+K18+K13</f>
        <v>49.354000000000006</v>
      </c>
      <c r="L33" s="4"/>
      <c r="M33" s="26"/>
      <c r="N33" s="716"/>
      <c r="O33" s="106"/>
      <c r="P33" s="26"/>
      <c r="Q33" s="477"/>
      <c r="R33" s="342"/>
      <c r="S33" s="7"/>
      <c r="T33" s="303"/>
      <c r="U33" s="106"/>
      <c r="V33" s="37"/>
      <c r="W33" s="37"/>
    </row>
    <row r="34" spans="1:23" s="2" customFormat="1" x14ac:dyDescent="0.35">
      <c r="A34" s="20"/>
      <c r="B34" s="54"/>
      <c r="C34" s="55"/>
      <c r="D34" s="740"/>
      <c r="E34" s="728"/>
      <c r="F34" s="564"/>
      <c r="G34" s="467"/>
      <c r="H34" s="448"/>
      <c r="I34" s="22"/>
      <c r="J34" s="310"/>
      <c r="K34" s="145"/>
      <c r="L34" s="5"/>
      <c r="M34" s="197" t="s">
        <v>11</v>
      </c>
      <c r="N34" s="715">
        <v>10.621</v>
      </c>
      <c r="O34" s="107">
        <v>12.846</v>
      </c>
      <c r="P34" s="644">
        <v>10.34775</v>
      </c>
      <c r="Q34" s="98">
        <v>0.83908000000000005</v>
      </c>
      <c r="R34" s="344">
        <v>1</v>
      </c>
      <c r="S34" s="200">
        <v>1.0811500000000001</v>
      </c>
      <c r="T34" s="295">
        <v>1.2852600000000001</v>
      </c>
      <c r="U34" s="107">
        <v>5.8449999999999998</v>
      </c>
      <c r="V34" s="35"/>
      <c r="W34" s="35"/>
    </row>
    <row r="35" spans="1:23" ht="29" x14ac:dyDescent="0.35">
      <c r="A35" s="845"/>
      <c r="B35" s="231"/>
      <c r="C35" s="657" t="s">
        <v>195</v>
      </c>
      <c r="D35" s="744">
        <f>10.394-D43</f>
        <v>3.9030000000000005</v>
      </c>
      <c r="E35" s="732">
        <f>9.714-E43</f>
        <v>2.8820000000000006</v>
      </c>
      <c r="F35" s="724">
        <f>7.451-4.387</f>
        <v>3.0640000000000001</v>
      </c>
      <c r="G35" s="472">
        <v>10.735239999999999</v>
      </c>
      <c r="H35" s="453">
        <v>5</v>
      </c>
      <c r="I35" s="232">
        <v>6.4150200000000002</v>
      </c>
      <c r="J35" s="336">
        <v>7.5765200000000004</v>
      </c>
      <c r="K35" s="283">
        <v>12.638</v>
      </c>
      <c r="L35" s="4"/>
      <c r="M35" s="807" t="s">
        <v>196</v>
      </c>
      <c r="N35" s="716">
        <v>1.39</v>
      </c>
      <c r="O35" s="106">
        <v>3.7290000000000001</v>
      </c>
      <c r="P35" s="519"/>
      <c r="Q35" s="477"/>
      <c r="R35" s="342"/>
      <c r="S35" s="7"/>
      <c r="T35" s="303"/>
      <c r="U35" s="106"/>
      <c r="V35" s="37"/>
      <c r="W35" s="37"/>
    </row>
    <row r="36" spans="1:23" x14ac:dyDescent="0.35">
      <c r="A36" s="846"/>
      <c r="B36" s="231"/>
      <c r="C36" s="233" t="s">
        <v>103</v>
      </c>
      <c r="D36" s="745">
        <v>0.20799999999999999</v>
      </c>
      <c r="E36" s="733">
        <v>0</v>
      </c>
      <c r="F36" s="719">
        <v>0</v>
      </c>
      <c r="G36" s="473">
        <v>0.49</v>
      </c>
      <c r="H36" s="454"/>
      <c r="I36" s="234"/>
      <c r="J36" s="311"/>
      <c r="K36" s="284">
        <v>0.34399999999999997</v>
      </c>
      <c r="L36" s="4"/>
      <c r="M36" s="26"/>
      <c r="N36" s="716"/>
      <c r="O36" s="106"/>
      <c r="P36" s="519"/>
      <c r="Q36" s="477"/>
      <c r="R36" s="342"/>
      <c r="S36" s="7"/>
      <c r="T36" s="303"/>
      <c r="U36" s="106"/>
      <c r="V36" s="37"/>
      <c r="W36" s="37"/>
    </row>
    <row r="37" spans="1:23" ht="15.75" customHeight="1" x14ac:dyDescent="0.35">
      <c r="A37" s="846"/>
      <c r="B37" s="235"/>
      <c r="C37" s="236" t="s">
        <v>119</v>
      </c>
      <c r="D37" s="745">
        <v>8.1999999999999993</v>
      </c>
      <c r="E37" s="733">
        <v>3</v>
      </c>
      <c r="F37" s="719">
        <v>3</v>
      </c>
      <c r="G37" s="473">
        <v>20.466100000000001</v>
      </c>
      <c r="H37" s="454">
        <v>9.4</v>
      </c>
      <c r="I37" s="234">
        <v>54.973480000000002</v>
      </c>
      <c r="J37" s="311">
        <v>53.197749999999999</v>
      </c>
      <c r="K37" s="284">
        <v>44.378</v>
      </c>
      <c r="L37" s="4"/>
      <c r="M37" s="26"/>
      <c r="N37" s="716"/>
      <c r="O37" s="106"/>
      <c r="P37" s="519"/>
      <c r="Q37" s="477"/>
      <c r="R37" s="342"/>
      <c r="S37" s="7"/>
      <c r="T37" s="303"/>
      <c r="U37" s="106"/>
      <c r="V37" s="37"/>
      <c r="W37" s="37"/>
    </row>
    <row r="38" spans="1:23" ht="15.75" customHeight="1" x14ac:dyDescent="0.35">
      <c r="A38" s="846"/>
      <c r="B38" s="235">
        <v>6112</v>
      </c>
      <c r="C38" s="236" t="s">
        <v>161</v>
      </c>
      <c r="D38" s="745"/>
      <c r="E38" s="733"/>
      <c r="F38" s="719">
        <v>6.3432000000000004</v>
      </c>
      <c r="G38" s="473">
        <v>12.703049999999999</v>
      </c>
      <c r="H38" s="454"/>
      <c r="I38" s="234"/>
      <c r="J38" s="311"/>
      <c r="K38" s="284"/>
      <c r="L38" s="4"/>
      <c r="M38" s="26"/>
      <c r="N38" s="716"/>
      <c r="O38" s="106"/>
      <c r="P38" s="519"/>
      <c r="Q38" s="477"/>
      <c r="R38" s="342"/>
      <c r="S38" s="7"/>
      <c r="T38" s="303"/>
      <c r="U38" s="106"/>
      <c r="V38" s="37"/>
      <c r="W38" s="37"/>
    </row>
    <row r="39" spans="1:23" ht="15.75" customHeight="1" x14ac:dyDescent="0.35">
      <c r="A39" s="846"/>
      <c r="B39" s="231"/>
      <c r="C39" s="236" t="s">
        <v>179</v>
      </c>
      <c r="D39" s="745">
        <v>0.6</v>
      </c>
      <c r="E39" s="733">
        <v>0</v>
      </c>
      <c r="F39" s="719">
        <v>1</v>
      </c>
      <c r="G39" s="473"/>
      <c r="H39" s="454"/>
      <c r="I39" s="234"/>
      <c r="J39" s="311"/>
      <c r="K39" s="284"/>
      <c r="L39" s="4"/>
      <c r="M39" s="26"/>
      <c r="N39" s="716"/>
      <c r="O39" s="106"/>
      <c r="P39" s="519"/>
      <c r="Q39" s="477"/>
      <c r="R39" s="342"/>
      <c r="S39" s="7"/>
      <c r="T39" s="303"/>
      <c r="U39" s="106"/>
      <c r="V39" s="37"/>
      <c r="W39" s="37"/>
    </row>
    <row r="40" spans="1:23" ht="15.75" customHeight="1" x14ac:dyDescent="0.35">
      <c r="A40" s="846"/>
      <c r="B40" s="231"/>
      <c r="C40" s="233" t="s">
        <v>100</v>
      </c>
      <c r="D40" s="745"/>
      <c r="E40" s="733"/>
      <c r="F40" s="719"/>
      <c r="G40" s="473"/>
      <c r="H40" s="454"/>
      <c r="I40" s="234"/>
      <c r="J40" s="311"/>
      <c r="K40" s="284"/>
      <c r="L40" s="4"/>
      <c r="M40" s="197" t="s">
        <v>10</v>
      </c>
      <c r="N40" s="715"/>
      <c r="O40" s="107"/>
      <c r="P40" s="518">
        <v>0</v>
      </c>
      <c r="Q40" s="98">
        <v>46.972000000000001</v>
      </c>
      <c r="R40" s="344">
        <v>117.4</v>
      </c>
      <c r="S40" s="200"/>
      <c r="T40" s="295">
        <v>0</v>
      </c>
      <c r="U40" s="107">
        <v>0</v>
      </c>
      <c r="V40" s="36"/>
      <c r="W40" s="36"/>
    </row>
    <row r="41" spans="1:23" ht="15.75" customHeight="1" x14ac:dyDescent="0.35">
      <c r="A41" s="846"/>
      <c r="B41" s="231"/>
      <c r="C41" s="236" t="s">
        <v>170</v>
      </c>
      <c r="D41" s="745"/>
      <c r="E41" s="733"/>
      <c r="F41" s="719">
        <v>0</v>
      </c>
      <c r="G41" s="473"/>
      <c r="H41" s="454"/>
      <c r="I41" s="234"/>
      <c r="J41" s="311"/>
      <c r="K41" s="284"/>
      <c r="L41" s="4"/>
      <c r="M41" s="97"/>
      <c r="N41" s="716"/>
      <c r="O41" s="106"/>
      <c r="P41" s="519"/>
      <c r="Q41" s="475"/>
      <c r="R41" s="358"/>
      <c r="S41" s="19"/>
      <c r="T41" s="305"/>
      <c r="U41" s="106"/>
      <c r="V41" s="36"/>
      <c r="W41" s="36"/>
    </row>
    <row r="42" spans="1:23" ht="15.75" customHeight="1" x14ac:dyDescent="0.35">
      <c r="A42" s="846"/>
      <c r="B42" s="238"/>
      <c r="C42" s="236" t="s">
        <v>178</v>
      </c>
      <c r="D42" s="745">
        <v>7.6589999999999998</v>
      </c>
      <c r="E42" s="733">
        <v>0</v>
      </c>
      <c r="F42" s="719">
        <v>0</v>
      </c>
      <c r="G42" s="473">
        <v>10.8223</v>
      </c>
      <c r="H42" s="454"/>
      <c r="I42" s="220"/>
      <c r="J42" s="311"/>
      <c r="K42" s="284"/>
      <c r="L42" s="4"/>
      <c r="M42" s="39"/>
      <c r="N42" s="717"/>
      <c r="O42" s="133"/>
      <c r="P42" s="524"/>
      <c r="Q42" s="475"/>
      <c r="R42" s="342"/>
      <c r="S42" s="19"/>
      <c r="T42" s="305"/>
      <c r="U42" s="133"/>
      <c r="V42" s="36"/>
      <c r="W42" s="36"/>
    </row>
    <row r="43" spans="1:23" ht="15.75" customHeight="1" x14ac:dyDescent="0.35">
      <c r="A43" s="52"/>
      <c r="B43" s="239"/>
      <c r="C43" s="236" t="s">
        <v>123</v>
      </c>
      <c r="D43" s="745">
        <v>6.4909999999999997</v>
      </c>
      <c r="E43" s="733">
        <v>6.8319999999999999</v>
      </c>
      <c r="F43" s="719">
        <v>4.3869999999999996</v>
      </c>
      <c r="G43" s="473"/>
      <c r="H43" s="454"/>
      <c r="I43" s="220"/>
      <c r="J43" s="311"/>
      <c r="K43" s="284"/>
      <c r="L43" s="4"/>
      <c r="M43" s="39"/>
      <c r="N43" s="717"/>
      <c r="O43" s="133"/>
      <c r="P43" s="524"/>
      <c r="Q43" s="475"/>
      <c r="R43" s="358"/>
      <c r="S43" s="19"/>
      <c r="T43" s="305"/>
      <c r="U43" s="133"/>
      <c r="V43" s="37"/>
      <c r="W43" s="37"/>
    </row>
    <row r="44" spans="1:23" s="2" customFormat="1" x14ac:dyDescent="0.35">
      <c r="A44" s="52"/>
      <c r="B44" s="239"/>
      <c r="C44" s="236" t="s">
        <v>146</v>
      </c>
      <c r="D44" s="745"/>
      <c r="E44" s="733"/>
      <c r="F44" s="719"/>
      <c r="G44" s="473"/>
      <c r="H44" s="454"/>
      <c r="I44" s="220">
        <v>2</v>
      </c>
      <c r="J44" s="311"/>
      <c r="K44" s="284"/>
      <c r="L44" s="6"/>
      <c r="M44" s="39"/>
      <c r="N44" s="717"/>
      <c r="O44" s="133"/>
      <c r="P44" s="524"/>
      <c r="Q44" s="475"/>
      <c r="R44" s="358"/>
      <c r="S44" s="19"/>
      <c r="T44" s="305"/>
      <c r="U44" s="133"/>
      <c r="V44" s="35"/>
      <c r="W44" s="35"/>
    </row>
    <row r="45" spans="1:23" s="2" customFormat="1" x14ac:dyDescent="0.35">
      <c r="A45" s="20"/>
      <c r="B45" s="240"/>
      <c r="C45" s="233" t="s">
        <v>10</v>
      </c>
      <c r="D45" s="745">
        <v>92.614999999999995</v>
      </c>
      <c r="E45" s="733">
        <v>58.307000000000002</v>
      </c>
      <c r="F45" s="719">
        <v>59.383749999999999</v>
      </c>
      <c r="G45" s="473">
        <v>55.60322</v>
      </c>
      <c r="H45" s="454"/>
      <c r="I45" s="220"/>
      <c r="J45" s="311">
        <v>45.798270000000002</v>
      </c>
      <c r="K45" s="284">
        <v>59.381</v>
      </c>
      <c r="L45" s="6"/>
      <c r="M45" s="39"/>
      <c r="N45" s="717"/>
      <c r="O45" s="133"/>
      <c r="P45" s="524"/>
      <c r="Q45" s="475"/>
      <c r="R45" s="358"/>
      <c r="S45" s="19"/>
      <c r="T45" s="305"/>
      <c r="U45" s="133"/>
      <c r="V45" s="35"/>
      <c r="W45" s="35"/>
    </row>
    <row r="46" spans="1:23" x14ac:dyDescent="0.35">
      <c r="A46" s="37"/>
      <c r="B46" s="240"/>
      <c r="C46" s="233" t="s">
        <v>94</v>
      </c>
      <c r="D46" s="745"/>
      <c r="E46" s="733"/>
      <c r="F46" s="719"/>
      <c r="G46" s="473"/>
      <c r="H46" s="454"/>
      <c r="I46" s="220">
        <v>7.9379999999999997</v>
      </c>
      <c r="J46" s="311">
        <v>8.4870000000000001</v>
      </c>
      <c r="K46" s="284">
        <v>8.4469999999999992</v>
      </c>
      <c r="L46" s="57"/>
      <c r="M46" s="39"/>
      <c r="N46" s="717"/>
      <c r="O46" s="133"/>
      <c r="P46" s="524"/>
      <c r="Q46" s="475"/>
      <c r="R46" s="358"/>
      <c r="S46" s="19"/>
      <c r="T46" s="305"/>
      <c r="U46" s="133"/>
      <c r="V46" s="37"/>
      <c r="W46" s="37"/>
    </row>
    <row r="47" spans="1:23" x14ac:dyDescent="0.35">
      <c r="A47" s="37"/>
      <c r="B47" s="235"/>
      <c r="C47" s="285" t="s">
        <v>102</v>
      </c>
      <c r="D47" s="746">
        <v>13.331</v>
      </c>
      <c r="E47" s="734">
        <v>10.972</v>
      </c>
      <c r="F47" s="552">
        <v>21.69</v>
      </c>
      <c r="G47" s="177">
        <v>1.5791999999999999</v>
      </c>
      <c r="H47" s="455"/>
      <c r="I47" s="241">
        <v>13.181940000000001</v>
      </c>
      <c r="J47" s="292">
        <v>8.2140000000000004</v>
      </c>
      <c r="K47" s="176">
        <v>12.5</v>
      </c>
      <c r="L47" s="66"/>
      <c r="M47" s="39"/>
      <c r="N47" s="717"/>
      <c r="O47" s="133"/>
      <c r="P47" s="524"/>
      <c r="Q47" s="475"/>
      <c r="R47" s="358"/>
      <c r="S47" s="19"/>
      <c r="T47" s="305"/>
      <c r="U47" s="133"/>
      <c r="V47" s="37"/>
      <c r="W47" s="37"/>
    </row>
    <row r="48" spans="1:23" x14ac:dyDescent="0.35">
      <c r="A48" s="37"/>
      <c r="B48" s="847" t="s">
        <v>99</v>
      </c>
      <c r="C48" s="848"/>
      <c r="D48" s="747">
        <f t="shared" ref="D48:I48" si="4">SUM(D35:D47)</f>
        <v>133.00699999999998</v>
      </c>
      <c r="E48" s="735">
        <f t="shared" si="4"/>
        <v>81.992999999999995</v>
      </c>
      <c r="F48" s="631">
        <f t="shared" si="4"/>
        <v>98.867949999999993</v>
      </c>
      <c r="G48" s="474">
        <f t="shared" si="4"/>
        <v>112.39910999999999</v>
      </c>
      <c r="H48" s="456">
        <f t="shared" si="4"/>
        <v>14.4</v>
      </c>
      <c r="I48" s="86">
        <f t="shared" si="4"/>
        <v>84.508439999999993</v>
      </c>
      <c r="J48" s="340">
        <f t="shared" ref="J48:K48" si="5">SUM(J35:J47)</f>
        <v>123.27354</v>
      </c>
      <c r="K48" s="146">
        <f t="shared" si="5"/>
        <v>137.68799999999999</v>
      </c>
      <c r="L48" s="67"/>
      <c r="M48" s="26"/>
      <c r="N48" s="716"/>
      <c r="O48" s="106"/>
      <c r="P48" s="519"/>
      <c r="Q48" s="477"/>
      <c r="R48" s="342"/>
      <c r="S48" s="7"/>
      <c r="T48" s="303"/>
      <c r="U48" s="106"/>
      <c r="V48" s="37"/>
      <c r="W48" s="37"/>
    </row>
    <row r="49" spans="2:23" x14ac:dyDescent="0.35">
      <c r="B49" s="3"/>
      <c r="C49" s="2"/>
      <c r="D49" s="748"/>
      <c r="E49" s="123"/>
      <c r="F49" s="569"/>
      <c r="G49" s="475"/>
      <c r="H49" s="457"/>
      <c r="I49" s="19"/>
      <c r="J49" s="305"/>
      <c r="K49" s="147"/>
      <c r="L49" s="67"/>
      <c r="M49" s="39"/>
      <c r="N49" s="717"/>
      <c r="O49" s="133"/>
      <c r="P49" s="524"/>
      <c r="Q49" s="475"/>
      <c r="R49" s="358"/>
      <c r="S49" s="19"/>
      <c r="T49" s="305"/>
      <c r="U49" s="133"/>
      <c r="V49" s="37"/>
      <c r="W49" s="37"/>
    </row>
    <row r="50" spans="2:23" x14ac:dyDescent="0.35">
      <c r="B50" s="10" t="s">
        <v>50</v>
      </c>
      <c r="C50" s="56"/>
      <c r="D50" s="670">
        <f>SUM(D33,D48)</f>
        <v>161.28199999999998</v>
      </c>
      <c r="E50" s="669">
        <f>SUM(E33,E48)</f>
        <v>104.29599999999999</v>
      </c>
      <c r="F50" s="547">
        <f>SUM(F33,F48)</f>
        <v>128.75910999999999</v>
      </c>
      <c r="G50" s="476">
        <f>G33+G48</f>
        <v>126.67726999999999</v>
      </c>
      <c r="H50" s="458">
        <f>H33+H48</f>
        <v>24.6</v>
      </c>
      <c r="I50" s="202">
        <f>I33+I48</f>
        <v>121.67186999999998</v>
      </c>
      <c r="J50" s="312">
        <f t="shared" ref="J50:K50" si="6">J33+J48</f>
        <v>164.30342999999999</v>
      </c>
      <c r="K50" s="148">
        <f t="shared" si="6"/>
        <v>187.042</v>
      </c>
      <c r="L50" s="74"/>
      <c r="M50" s="28" t="s">
        <v>51</v>
      </c>
      <c r="N50" s="666">
        <f>SUM(N7:N49)</f>
        <v>559.19400000000007</v>
      </c>
      <c r="O50" s="108">
        <f>SUM(O7:O49)</f>
        <v>440.43700000000001</v>
      </c>
      <c r="P50" s="525">
        <f>SUM(P7:P49)</f>
        <v>412.74175000000002</v>
      </c>
      <c r="Q50" s="481">
        <f>SUM(Q7:Q40)</f>
        <v>431.95607999999993</v>
      </c>
      <c r="R50" s="461">
        <f>SUM(R7:R49)</f>
        <v>484.20000000000005</v>
      </c>
      <c r="S50" s="11">
        <f>SUM(S7:S49)</f>
        <v>449.17314999999996</v>
      </c>
      <c r="T50" s="300">
        <f>SUM(T7:T40)</f>
        <v>438.20726000000002</v>
      </c>
      <c r="U50" s="108">
        <f>SUM(U7:U49)</f>
        <v>449.22900000000004</v>
      </c>
    </row>
    <row r="51" spans="2:23" x14ac:dyDescent="0.35">
      <c r="B51" s="36"/>
      <c r="C51" s="36"/>
      <c r="D51" s="749"/>
      <c r="E51" s="101"/>
      <c r="F51" s="550"/>
      <c r="G51" s="111"/>
      <c r="H51" s="459"/>
      <c r="I51" s="7"/>
      <c r="J51" s="289"/>
      <c r="K51" s="124"/>
      <c r="L51" s="74"/>
      <c r="M51" s="24"/>
      <c r="N51" s="24"/>
      <c r="O51" s="24"/>
      <c r="P51" s="24"/>
      <c r="R51" s="71"/>
      <c r="S51" s="24"/>
      <c r="T51" s="109"/>
      <c r="U51" s="24"/>
    </row>
    <row r="52" spans="2:23" x14ac:dyDescent="0.35">
      <c r="B52" s="58" t="s">
        <v>16</v>
      </c>
      <c r="C52" s="58"/>
      <c r="D52" s="672">
        <f t="shared" ref="D52:K52" si="7">N50-D50</f>
        <v>397.91200000000009</v>
      </c>
      <c r="E52" s="671">
        <f t="shared" si="7"/>
        <v>336.14100000000002</v>
      </c>
      <c r="F52" s="628">
        <f t="shared" si="7"/>
        <v>283.98264000000006</v>
      </c>
      <c r="G52" s="201">
        <f t="shared" si="7"/>
        <v>305.27880999999991</v>
      </c>
      <c r="H52" s="362">
        <f t="shared" si="7"/>
        <v>459.6</v>
      </c>
      <c r="I52" s="409">
        <f t="shared" si="7"/>
        <v>327.50127999999995</v>
      </c>
      <c r="J52" s="313">
        <f t="shared" si="7"/>
        <v>273.90383000000003</v>
      </c>
      <c r="K52" s="126">
        <f t="shared" si="7"/>
        <v>262.18700000000001</v>
      </c>
      <c r="L52" s="74"/>
      <c r="M52" s="26"/>
      <c r="N52" s="26"/>
      <c r="O52" s="26"/>
      <c r="P52" s="26"/>
      <c r="R52" s="72"/>
      <c r="S52" s="26"/>
      <c r="T52" s="109"/>
      <c r="U52" s="26"/>
    </row>
    <row r="53" spans="2:23" x14ac:dyDescent="0.35">
      <c r="B53" s="37"/>
      <c r="C53" s="37"/>
      <c r="D53" s="37"/>
      <c r="E53" s="37"/>
      <c r="F53" s="37"/>
      <c r="H53" s="24"/>
      <c r="I53" s="24"/>
      <c r="J53" s="109"/>
      <c r="K53" s="124"/>
      <c r="M53" s="24"/>
      <c r="N53" s="24"/>
      <c r="O53" s="24"/>
      <c r="P53" s="24"/>
      <c r="R53" s="71"/>
      <c r="S53" s="24"/>
      <c r="T53" s="109"/>
      <c r="U53" s="24"/>
    </row>
    <row r="54" spans="2:23" x14ac:dyDescent="0.35">
      <c r="B54" s="37"/>
      <c r="C54" s="37"/>
      <c r="D54" s="37"/>
      <c r="E54" s="37"/>
      <c r="F54" s="37"/>
      <c r="H54" s="24"/>
      <c r="I54" s="24"/>
      <c r="J54" s="109"/>
      <c r="K54" s="124"/>
      <c r="M54" s="24"/>
      <c r="N54" s="24"/>
      <c r="O54" s="24"/>
      <c r="P54" s="24"/>
      <c r="R54" s="71"/>
      <c r="S54" s="24"/>
      <c r="T54" s="109"/>
      <c r="U54" s="24"/>
    </row>
  </sheetData>
  <mergeCells count="6">
    <mergeCell ref="M4:M5"/>
    <mergeCell ref="A35:A42"/>
    <mergeCell ref="B48:C48"/>
    <mergeCell ref="B2:C2"/>
    <mergeCell ref="B33:C33"/>
    <mergeCell ref="C4:C5"/>
  </mergeCells>
  <phoneticPr fontId="6" type="noConversion"/>
  <pageMargins left="0.70866141732283472" right="0.70866141732283472" top="0.23622047244094491" bottom="0.31496062992125984" header="0.19685039370078741" footer="0.31496062992125984"/>
  <pageSetup paperSize="9" scale="71" orientation="landscape" r:id="rId1"/>
  <headerFooter>
    <oddFooter>&amp;L_x000D_&amp;1#&amp;"Aptos"&amp;10&amp;K000000 Data sensitivity - Internal&amp;RPage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38"/>
  <sheetViews>
    <sheetView zoomScaleNormal="100" workbookViewId="0">
      <selection activeCell="D7" sqref="D7"/>
    </sheetView>
  </sheetViews>
  <sheetFormatPr baseColWidth="10" defaultRowHeight="14.5" x14ac:dyDescent="0.35"/>
  <cols>
    <col min="1" max="1" width="6" style="510" customWidth="1"/>
    <col min="2" max="2" width="47.6328125" bestFit="1" customWidth="1"/>
    <col min="3" max="4" width="8.453125" style="649" customWidth="1"/>
    <col min="5" max="5" width="12.36328125" style="526" customWidth="1"/>
    <col min="6" max="6" width="11.453125" style="367" customWidth="1"/>
    <col min="7" max="8" width="11.453125" style="60" customWidth="1"/>
    <col min="9" max="9" width="11.453125" style="243" customWidth="1"/>
    <col min="10" max="10" width="11.453125" style="100" customWidth="1"/>
  </cols>
  <sheetData>
    <row r="2" spans="1:12" ht="21" thickBot="1" x14ac:dyDescent="0.5">
      <c r="A2" s="853" t="s">
        <v>52</v>
      </c>
      <c r="B2" s="853"/>
      <c r="C2" s="648"/>
      <c r="D2" s="648"/>
      <c r="E2" s="548"/>
      <c r="F2" s="366"/>
      <c r="G2" s="91"/>
      <c r="H2" s="59"/>
      <c r="I2" s="242"/>
      <c r="J2" s="99"/>
    </row>
    <row r="3" spans="1:12" ht="9.75" customHeight="1" thickTop="1" x14ac:dyDescent="0.35"/>
    <row r="4" spans="1:12" s="2" customFormat="1" ht="18" customHeight="1" x14ac:dyDescent="0.35">
      <c r="A4" s="511"/>
      <c r="C4" s="654" t="s">
        <v>17</v>
      </c>
      <c r="D4" s="652" t="s">
        <v>17</v>
      </c>
      <c r="E4" s="549" t="s">
        <v>17</v>
      </c>
      <c r="F4" s="130" t="s">
        <v>17</v>
      </c>
      <c r="G4" s="438" t="s">
        <v>17</v>
      </c>
      <c r="H4" s="68" t="s">
        <v>17</v>
      </c>
      <c r="I4" s="286" t="s">
        <v>17</v>
      </c>
      <c r="J4" s="270" t="s">
        <v>17</v>
      </c>
      <c r="L4" s="33"/>
    </row>
    <row r="5" spans="1:12" s="2" customFormat="1" ht="18" customHeight="1" x14ac:dyDescent="0.35">
      <c r="A5" s="808" t="s">
        <v>48</v>
      </c>
      <c r="B5" s="857"/>
      <c r="C5" s="655" t="s">
        <v>186</v>
      </c>
      <c r="D5" s="653" t="s">
        <v>187</v>
      </c>
      <c r="E5" s="528" t="s">
        <v>165</v>
      </c>
      <c r="F5" s="463" t="s">
        <v>159</v>
      </c>
      <c r="G5" s="439" t="s">
        <v>152</v>
      </c>
      <c r="H5" s="70" t="s">
        <v>144</v>
      </c>
      <c r="I5" s="287" t="s">
        <v>136</v>
      </c>
      <c r="J5" s="271" t="s">
        <v>118</v>
      </c>
      <c r="K5" s="35"/>
      <c r="L5" s="33"/>
    </row>
    <row r="6" spans="1:12" ht="18" customHeight="1" x14ac:dyDescent="0.35">
      <c r="A6" s="512"/>
      <c r="B6" s="38"/>
      <c r="C6" s="650"/>
      <c r="D6" s="650"/>
      <c r="E6" s="523"/>
      <c r="F6" s="111"/>
      <c r="G6" s="440"/>
      <c r="H6" s="7"/>
      <c r="I6" s="92"/>
      <c r="J6" s="101"/>
      <c r="K6" s="37"/>
      <c r="L6" s="34"/>
    </row>
    <row r="7" spans="1:12" ht="18" customHeight="1" x14ac:dyDescent="0.35">
      <c r="A7" s="554"/>
      <c r="B7" s="186" t="s">
        <v>47</v>
      </c>
      <c r="C7" s="704">
        <v>2.4940000000000002</v>
      </c>
      <c r="D7" s="696">
        <v>2.0270000000000001</v>
      </c>
      <c r="E7" s="688">
        <v>3.625</v>
      </c>
      <c r="F7" s="162">
        <v>1.49647</v>
      </c>
      <c r="G7" s="441">
        <v>1.7</v>
      </c>
      <c r="H7" s="211">
        <v>2.1891600000000002</v>
      </c>
      <c r="I7" s="290">
        <v>2.40252</v>
      </c>
      <c r="J7" s="278">
        <v>2.5489999999999999</v>
      </c>
      <c r="K7" s="37"/>
      <c r="L7" s="34"/>
    </row>
    <row r="8" spans="1:12" ht="18" customHeight="1" x14ac:dyDescent="0.35">
      <c r="A8" s="554"/>
      <c r="B8" s="187" t="s">
        <v>19</v>
      </c>
      <c r="C8" s="704">
        <v>14.013</v>
      </c>
      <c r="D8" s="696">
        <v>22.88</v>
      </c>
      <c r="E8" s="689">
        <v>7.0510000000000002</v>
      </c>
      <c r="F8" s="168">
        <v>4.7878800000000004</v>
      </c>
      <c r="G8" s="442">
        <v>3.5</v>
      </c>
      <c r="H8" s="212">
        <v>4.6871</v>
      </c>
      <c r="I8" s="291">
        <v>6.0648400000000002</v>
      </c>
      <c r="J8" s="279">
        <v>7.0380000000000003</v>
      </c>
      <c r="K8" s="37"/>
      <c r="L8" s="34"/>
    </row>
    <row r="9" spans="1:12" ht="18" customHeight="1" x14ac:dyDescent="0.35">
      <c r="A9" s="554"/>
      <c r="B9" s="189" t="s">
        <v>194</v>
      </c>
      <c r="C9" s="704">
        <v>20.420999999999999</v>
      </c>
      <c r="D9" s="696">
        <v>21.413</v>
      </c>
      <c r="E9" s="689">
        <v>21.013999999999999</v>
      </c>
      <c r="F9" s="168">
        <v>24.598690000000001</v>
      </c>
      <c r="G9" s="442">
        <v>24.4</v>
      </c>
      <c r="H9" s="212">
        <v>23.096260000000001</v>
      </c>
      <c r="I9" s="291">
        <v>25.892880000000002</v>
      </c>
      <c r="J9" s="279">
        <v>26.998999999999999</v>
      </c>
      <c r="K9" s="37"/>
      <c r="L9" s="410"/>
    </row>
    <row r="10" spans="1:12" ht="18" customHeight="1" x14ac:dyDescent="0.35">
      <c r="A10" s="554"/>
      <c r="B10" s="189" t="s">
        <v>183</v>
      </c>
      <c r="C10" s="704">
        <v>9.1669999999999998</v>
      </c>
      <c r="D10" s="696">
        <v>11.739000000000001</v>
      </c>
      <c r="E10" s="690">
        <v>19.495999999999999</v>
      </c>
      <c r="F10" s="482">
        <v>10.06809</v>
      </c>
      <c r="G10" s="442">
        <v>6.1</v>
      </c>
      <c r="H10" s="212">
        <v>5.22417</v>
      </c>
      <c r="I10" s="332">
        <v>11.406319999999999</v>
      </c>
      <c r="J10" s="279">
        <v>10.063000000000001</v>
      </c>
      <c r="K10" s="37"/>
      <c r="L10" s="34"/>
    </row>
    <row r="11" spans="1:12" ht="18" customHeight="1" x14ac:dyDescent="0.35">
      <c r="A11" s="554"/>
      <c r="B11" s="189" t="s">
        <v>173</v>
      </c>
      <c r="C11" s="704">
        <v>3.141</v>
      </c>
      <c r="D11" s="696">
        <v>3.0960000000000001</v>
      </c>
      <c r="E11" s="689">
        <v>3.6869999999999998</v>
      </c>
      <c r="F11" s="483"/>
      <c r="G11" s="442"/>
      <c r="H11" s="212"/>
      <c r="I11" s="316" t="s">
        <v>138</v>
      </c>
      <c r="J11" s="279">
        <v>-1.5</v>
      </c>
      <c r="K11" s="37"/>
      <c r="L11" s="34"/>
    </row>
    <row r="12" spans="1:12" ht="18" customHeight="1" x14ac:dyDescent="0.35">
      <c r="A12" s="554"/>
      <c r="B12" s="188" t="s">
        <v>95</v>
      </c>
      <c r="C12" s="704">
        <v>9.1820000000000004</v>
      </c>
      <c r="D12" s="696">
        <v>9.0039999999999996</v>
      </c>
      <c r="E12" s="544">
        <v>14.584</v>
      </c>
      <c r="F12" s="484">
        <v>9.1197099999999995</v>
      </c>
      <c r="G12" s="442">
        <v>11.1</v>
      </c>
      <c r="H12" s="212">
        <v>9.1078200000000002</v>
      </c>
      <c r="I12" s="333">
        <v>8.9834300000000002</v>
      </c>
      <c r="J12" s="167">
        <v>9.4960000000000004</v>
      </c>
      <c r="K12" s="37"/>
      <c r="L12" s="34"/>
    </row>
    <row r="13" spans="1:12" ht="18" customHeight="1" x14ac:dyDescent="0.35">
      <c r="A13" s="554"/>
      <c r="B13" s="187" t="s">
        <v>24</v>
      </c>
      <c r="C13" s="704">
        <v>17.795999999999999</v>
      </c>
      <c r="D13" s="696">
        <v>15.705</v>
      </c>
      <c r="E13" s="689">
        <v>15.60558</v>
      </c>
      <c r="F13" s="168">
        <v>12.969659999999999</v>
      </c>
      <c r="G13" s="442">
        <v>16.100000000000001</v>
      </c>
      <c r="H13" s="212">
        <v>15.447950000000001</v>
      </c>
      <c r="I13" s="291">
        <v>13.306290000000001</v>
      </c>
      <c r="J13" s="279">
        <v>14.9</v>
      </c>
      <c r="K13" s="37"/>
      <c r="L13" s="34"/>
    </row>
    <row r="14" spans="1:12" ht="18" customHeight="1" x14ac:dyDescent="0.35">
      <c r="A14" s="554"/>
      <c r="B14" s="189" t="s">
        <v>188</v>
      </c>
      <c r="C14" s="704">
        <v>19.901</v>
      </c>
      <c r="D14" s="696">
        <v>10.14</v>
      </c>
      <c r="E14" s="689">
        <v>95.65</v>
      </c>
      <c r="F14" s="168">
        <v>15.85994</v>
      </c>
      <c r="G14" s="442">
        <v>16.100000000000001</v>
      </c>
      <c r="H14" s="212">
        <v>23.533670000000001</v>
      </c>
      <c r="I14" s="291">
        <v>41.995229999999999</v>
      </c>
      <c r="J14" s="279">
        <v>26.51</v>
      </c>
      <c r="K14" s="37"/>
      <c r="L14" s="34"/>
    </row>
    <row r="15" spans="1:12" ht="18" customHeight="1" x14ac:dyDescent="0.35">
      <c r="A15" s="554"/>
      <c r="B15" s="189" t="s">
        <v>27</v>
      </c>
      <c r="C15" s="704">
        <f>1.608+1.076</f>
        <v>2.6840000000000002</v>
      </c>
      <c r="D15" s="696">
        <f>3.514+0.749</f>
        <v>4.2629999999999999</v>
      </c>
      <c r="E15" s="689">
        <f>0.433+1.562+3.671</f>
        <v>5.6660000000000004</v>
      </c>
      <c r="F15" s="168">
        <v>3.8323900000000002</v>
      </c>
      <c r="G15" s="442">
        <v>3.1</v>
      </c>
      <c r="H15" s="212">
        <v>2.8506999999999998</v>
      </c>
      <c r="I15" s="291">
        <v>4.4915599999999998</v>
      </c>
      <c r="J15" s="279">
        <v>4.7370000000000001</v>
      </c>
      <c r="K15" s="37"/>
      <c r="L15" s="34"/>
    </row>
    <row r="16" spans="1:12" ht="18" customHeight="1" x14ac:dyDescent="0.35">
      <c r="A16" s="554"/>
      <c r="B16" s="187" t="s">
        <v>101</v>
      </c>
      <c r="C16" s="704">
        <v>12.55</v>
      </c>
      <c r="D16" s="696">
        <v>21.513000000000002</v>
      </c>
      <c r="E16" s="689">
        <v>24.504999999999999</v>
      </c>
      <c r="F16" s="168">
        <v>21.346789999999999</v>
      </c>
      <c r="G16" s="442">
        <v>23.4</v>
      </c>
      <c r="H16" s="212">
        <v>18.720490000000002</v>
      </c>
      <c r="I16" s="291">
        <v>24.937840000000001</v>
      </c>
      <c r="J16" s="279">
        <v>24.628</v>
      </c>
      <c r="K16" s="37"/>
      <c r="L16" s="34"/>
    </row>
    <row r="17" spans="1:13" ht="18" customHeight="1" x14ac:dyDescent="0.35">
      <c r="A17" s="554"/>
      <c r="B17" s="189" t="s">
        <v>150</v>
      </c>
      <c r="C17" s="704">
        <f>6.312</f>
        <v>6.3120000000000003</v>
      </c>
      <c r="D17" s="696">
        <f>7.671+0.195</f>
        <v>7.8660000000000005</v>
      </c>
      <c r="E17" s="689">
        <v>7.5640000000000001</v>
      </c>
      <c r="F17" s="168">
        <v>8.7279999999999998</v>
      </c>
      <c r="G17" s="442">
        <v>8.4</v>
      </c>
      <c r="H17" s="212">
        <v>8.3919999999999995</v>
      </c>
      <c r="I17" s="291">
        <v>8.5969999999999995</v>
      </c>
      <c r="J17" s="279">
        <v>7.633</v>
      </c>
      <c r="K17" s="411"/>
      <c r="L17" s="34"/>
      <c r="M17" s="414"/>
    </row>
    <row r="18" spans="1:13" ht="18" customHeight="1" x14ac:dyDescent="0.35">
      <c r="A18" s="554"/>
      <c r="B18" s="189" t="s">
        <v>180</v>
      </c>
      <c r="C18" s="704"/>
      <c r="D18" s="696"/>
      <c r="E18" s="689">
        <v>62.116</v>
      </c>
      <c r="F18" s="168"/>
      <c r="G18" s="442"/>
      <c r="H18" s="212"/>
      <c r="I18" s="291"/>
      <c r="J18" s="279"/>
      <c r="K18" s="411"/>
      <c r="L18" s="34"/>
      <c r="M18" s="414"/>
    </row>
    <row r="19" spans="1:13" ht="18" customHeight="1" x14ac:dyDescent="0.35">
      <c r="A19" s="554"/>
      <c r="B19" s="187" t="s">
        <v>28</v>
      </c>
      <c r="C19" s="704">
        <v>0.95899999999999996</v>
      </c>
      <c r="D19" s="696">
        <v>0.79100000000000004</v>
      </c>
      <c r="E19" s="689">
        <v>0.54224000000000006</v>
      </c>
      <c r="F19" s="168">
        <v>0.45710000000000001</v>
      </c>
      <c r="G19" s="442">
        <v>0.4</v>
      </c>
      <c r="H19" s="212">
        <v>0.3</v>
      </c>
      <c r="I19" s="291">
        <v>0.27805000000000002</v>
      </c>
      <c r="J19" s="279">
        <v>0.53600000000000003</v>
      </c>
      <c r="K19" s="37"/>
      <c r="L19" s="34"/>
    </row>
    <row r="20" spans="1:13" ht="18" customHeight="1" x14ac:dyDescent="0.35">
      <c r="A20" s="554"/>
      <c r="B20" s="189" t="s">
        <v>181</v>
      </c>
      <c r="C20" s="704">
        <f>1.49+1.53</f>
        <v>3.02</v>
      </c>
      <c r="D20" s="696">
        <f>1.655+9.937</f>
        <v>11.591999999999999</v>
      </c>
      <c r="E20" s="689">
        <f>2.482+5.458+13.672</f>
        <v>21.612000000000002</v>
      </c>
      <c r="F20" s="168">
        <v>-19.52</v>
      </c>
      <c r="G20" s="442">
        <v>30.2</v>
      </c>
      <c r="H20" s="212">
        <v>1.98241</v>
      </c>
      <c r="I20" s="291">
        <v>1.36124</v>
      </c>
      <c r="J20" s="279">
        <v>0.69599999999999995</v>
      </c>
      <c r="K20" s="37"/>
      <c r="L20" s="34"/>
    </row>
    <row r="21" spans="1:13" ht="18" customHeight="1" x14ac:dyDescent="0.35">
      <c r="A21" s="554"/>
      <c r="B21" s="190" t="s">
        <v>43</v>
      </c>
      <c r="C21" s="704">
        <v>86.686999999999998</v>
      </c>
      <c r="D21" s="696">
        <v>105.19</v>
      </c>
      <c r="E21" s="691">
        <v>109.922</v>
      </c>
      <c r="F21" s="177">
        <v>57.51097</v>
      </c>
      <c r="G21" s="443">
        <v>36.5</v>
      </c>
      <c r="H21" s="213">
        <v>48.482709999999997</v>
      </c>
      <c r="I21" s="292">
        <v>31.054459999999999</v>
      </c>
      <c r="J21" s="280">
        <v>27.704000000000001</v>
      </c>
      <c r="K21" s="37"/>
      <c r="L21" s="34"/>
      <c r="M21" s="414"/>
    </row>
    <row r="22" spans="1:13" ht="18" customHeight="1" x14ac:dyDescent="0.35">
      <c r="A22" s="858" t="s">
        <v>54</v>
      </c>
      <c r="B22" s="859"/>
      <c r="C22" s="705">
        <f t="shared" ref="C22:J22" si="0">SUM(C7:C21)</f>
        <v>208.327</v>
      </c>
      <c r="D22" s="697">
        <f t="shared" si="0"/>
        <v>247.21899999999999</v>
      </c>
      <c r="E22" s="692">
        <f t="shared" si="0"/>
        <v>412.63981999999999</v>
      </c>
      <c r="F22" s="98">
        <f t="shared" si="0"/>
        <v>151.25568999999999</v>
      </c>
      <c r="G22" s="348">
        <f t="shared" si="0"/>
        <v>181</v>
      </c>
      <c r="H22" s="23">
        <f t="shared" si="0"/>
        <v>164.01444000000001</v>
      </c>
      <c r="I22" s="295">
        <f t="shared" si="0"/>
        <v>180.77166000000003</v>
      </c>
      <c r="J22" s="192">
        <f t="shared" si="0"/>
        <v>161.989</v>
      </c>
      <c r="K22" s="38"/>
      <c r="L22" s="34"/>
    </row>
    <row r="23" spans="1:13" ht="18" customHeight="1" x14ac:dyDescent="0.35">
      <c r="A23" s="512"/>
      <c r="B23" s="44"/>
      <c r="C23" s="706"/>
      <c r="D23" s="103"/>
      <c r="E23" s="550"/>
      <c r="F23" s="111"/>
      <c r="G23" s="444"/>
      <c r="H23" s="8"/>
      <c r="I23" s="289"/>
      <c r="J23" s="103"/>
      <c r="K23" s="37"/>
      <c r="L23" s="34"/>
    </row>
    <row r="24" spans="1:13" ht="18" customHeight="1" x14ac:dyDescent="0.35">
      <c r="A24" s="554"/>
      <c r="B24" s="186" t="s">
        <v>37</v>
      </c>
      <c r="C24" s="707">
        <v>313</v>
      </c>
      <c r="D24" s="698">
        <v>312.67899999999997</v>
      </c>
      <c r="E24" s="688">
        <v>277.57400000000001</v>
      </c>
      <c r="F24" s="162">
        <v>262.47210999999999</v>
      </c>
      <c r="G24" s="441">
        <v>280.10000000000002</v>
      </c>
      <c r="H24" s="211">
        <v>271.45064000000002</v>
      </c>
      <c r="I24" s="290">
        <v>236.70164</v>
      </c>
      <c r="J24" s="278">
        <v>213.37</v>
      </c>
      <c r="K24" s="37"/>
      <c r="L24" s="34"/>
    </row>
    <row r="25" spans="1:13" ht="18" customHeight="1" x14ac:dyDescent="0.35">
      <c r="A25" s="554"/>
      <c r="B25" s="187" t="s">
        <v>38</v>
      </c>
      <c r="C25" s="708">
        <v>113.36</v>
      </c>
      <c r="D25" s="699">
        <v>107.771</v>
      </c>
      <c r="E25" s="689">
        <v>100.232</v>
      </c>
      <c r="F25" s="168">
        <v>92.608840000000001</v>
      </c>
      <c r="G25" s="442">
        <v>97.7</v>
      </c>
      <c r="H25" s="212">
        <v>93.818650000000005</v>
      </c>
      <c r="I25" s="291">
        <v>89.056359999999998</v>
      </c>
      <c r="J25" s="279">
        <v>81.956999999999994</v>
      </c>
      <c r="K25" s="37"/>
      <c r="L25" s="34"/>
    </row>
    <row r="26" spans="1:13" ht="18" customHeight="1" x14ac:dyDescent="0.35">
      <c r="A26" s="554"/>
      <c r="B26" s="187" t="s">
        <v>105</v>
      </c>
      <c r="C26" s="708">
        <v>5.7169999999999996</v>
      </c>
      <c r="D26" s="699">
        <v>12.297000000000001</v>
      </c>
      <c r="E26" s="689">
        <v>6.4725000000000001</v>
      </c>
      <c r="F26" s="168">
        <v>2.21347</v>
      </c>
      <c r="G26" s="442">
        <v>2.8</v>
      </c>
      <c r="H26" s="212">
        <v>2.7017000000000002</v>
      </c>
      <c r="I26" s="291">
        <v>2.2450600000000001</v>
      </c>
      <c r="J26" s="279">
        <v>2.2360000000000002</v>
      </c>
      <c r="K26" s="37"/>
      <c r="L26" s="34"/>
    </row>
    <row r="27" spans="1:13" ht="18" customHeight="1" x14ac:dyDescent="0.35">
      <c r="A27" s="554"/>
      <c r="B27" s="187" t="s">
        <v>40</v>
      </c>
      <c r="C27" s="708">
        <v>8.1430000000000007</v>
      </c>
      <c r="D27" s="699">
        <v>6.1269999999999998</v>
      </c>
      <c r="E27" s="689">
        <v>5.173</v>
      </c>
      <c r="F27" s="168">
        <v>5.0442999999999998</v>
      </c>
      <c r="G27" s="442">
        <v>5.9</v>
      </c>
      <c r="H27" s="212">
        <v>5.8950100000000001</v>
      </c>
      <c r="I27" s="291">
        <v>5.0019600000000004</v>
      </c>
      <c r="J27" s="279">
        <v>5.0259999999999998</v>
      </c>
      <c r="K27" s="37"/>
      <c r="L27" s="34"/>
    </row>
    <row r="28" spans="1:13" ht="18" customHeight="1" x14ac:dyDescent="0.35">
      <c r="A28" s="554"/>
      <c r="B28" s="187" t="s">
        <v>34</v>
      </c>
      <c r="C28" s="708">
        <v>10.664999999999999</v>
      </c>
      <c r="D28" s="699">
        <v>8.0950000000000006</v>
      </c>
      <c r="E28" s="689">
        <v>6.226</v>
      </c>
      <c r="F28" s="168">
        <v>5.952</v>
      </c>
      <c r="G28" s="442">
        <v>7.8</v>
      </c>
      <c r="H28" s="212">
        <v>6.0149999999999997</v>
      </c>
      <c r="I28" s="291">
        <v>3.488</v>
      </c>
      <c r="J28" s="279">
        <v>5.7</v>
      </c>
      <c r="K28" s="37"/>
      <c r="L28" s="34"/>
    </row>
    <row r="29" spans="1:13" ht="18" customHeight="1" x14ac:dyDescent="0.35">
      <c r="A29" s="554"/>
      <c r="B29" s="189" t="s">
        <v>191</v>
      </c>
      <c r="C29" s="708">
        <f>7.5+6.966</f>
        <v>14.466000000000001</v>
      </c>
      <c r="D29" s="699">
        <v>6.6660000000000004</v>
      </c>
      <c r="E29" s="689">
        <f>5.965+10.071</f>
        <v>16.036000000000001</v>
      </c>
      <c r="F29" s="168">
        <v>6.2222</v>
      </c>
      <c r="G29" s="442">
        <v>5.4</v>
      </c>
      <c r="H29" s="212">
        <v>4.7991200000000003</v>
      </c>
      <c r="I29" s="291">
        <v>4.4550000000000001</v>
      </c>
      <c r="J29" s="279">
        <v>4.1159999999999997</v>
      </c>
      <c r="K29" s="37"/>
      <c r="L29" s="34"/>
    </row>
    <row r="30" spans="1:13" ht="18" customHeight="1" x14ac:dyDescent="0.35">
      <c r="A30" s="513" t="s">
        <v>41</v>
      </c>
      <c r="B30" s="43"/>
      <c r="C30" s="709">
        <f>SUM(C24:C29)</f>
        <v>465.35100000000006</v>
      </c>
      <c r="D30" s="700">
        <f>SUM(D24:D29)</f>
        <v>453.63500000000005</v>
      </c>
      <c r="E30" s="693">
        <f>SUM(E24:E29)</f>
        <v>411.71350000000007</v>
      </c>
      <c r="F30" s="98">
        <f>SUM(F24:F29)</f>
        <v>374.51291999999995</v>
      </c>
      <c r="G30" s="348">
        <f>SUM(G24:G29)</f>
        <v>399.7</v>
      </c>
      <c r="H30" s="23">
        <f t="shared" ref="H30:J30" si="1">SUM(H24:H29)</f>
        <v>384.68012000000004</v>
      </c>
      <c r="I30" s="295">
        <f t="shared" si="1"/>
        <v>340.94801999999999</v>
      </c>
      <c r="J30" s="192">
        <f t="shared" si="1"/>
        <v>312.40499999999997</v>
      </c>
      <c r="K30" s="38"/>
      <c r="L30" s="34"/>
    </row>
    <row r="31" spans="1:13" ht="18" customHeight="1" x14ac:dyDescent="0.35">
      <c r="A31" s="514"/>
      <c r="B31" s="29"/>
      <c r="C31" s="710"/>
      <c r="D31" s="104"/>
      <c r="E31" s="551"/>
      <c r="F31" s="485"/>
      <c r="G31" s="445"/>
      <c r="H31" s="21"/>
      <c r="I31" s="301"/>
      <c r="J31" s="104"/>
      <c r="K31" s="38"/>
      <c r="L31" s="34"/>
    </row>
    <row r="32" spans="1:13" ht="18" customHeight="1" x14ac:dyDescent="0.35">
      <c r="A32" s="514"/>
      <c r="B32" s="191" t="s">
        <v>174</v>
      </c>
      <c r="C32" s="711"/>
      <c r="D32" s="701"/>
      <c r="E32" s="694">
        <v>-3.4249999999999998</v>
      </c>
      <c r="F32" s="486">
        <v>-22.775739999999999</v>
      </c>
      <c r="G32" s="441">
        <v>-88.9</v>
      </c>
      <c r="H32" s="214">
        <v>3.6358199999999998</v>
      </c>
      <c r="I32" s="294">
        <v>-6.7588200000000001</v>
      </c>
      <c r="J32" s="281"/>
      <c r="K32" s="38"/>
      <c r="L32" s="34"/>
    </row>
    <row r="33" spans="1:12" ht="18" customHeight="1" x14ac:dyDescent="0.35">
      <c r="A33" s="514"/>
      <c r="B33" s="502" t="s">
        <v>163</v>
      </c>
      <c r="C33" s="712"/>
      <c r="D33" s="702"/>
      <c r="E33" s="695" t="s">
        <v>93</v>
      </c>
      <c r="F33" s="503">
        <v>-15.6556</v>
      </c>
      <c r="G33" s="504"/>
      <c r="H33" s="505"/>
      <c r="I33" s="506"/>
      <c r="J33" s="507"/>
      <c r="K33" s="38"/>
      <c r="L33" s="34"/>
    </row>
    <row r="34" spans="1:12" ht="18" customHeight="1" x14ac:dyDescent="0.35">
      <c r="A34" s="512"/>
      <c r="B34" s="415" t="s">
        <v>158</v>
      </c>
      <c r="C34" s="713"/>
      <c r="D34" s="703"/>
      <c r="E34" s="552">
        <v>-3.0870000000000002</v>
      </c>
      <c r="F34" s="487">
        <v>-1.1822299999999999</v>
      </c>
      <c r="G34" s="443">
        <v>-14.2</v>
      </c>
      <c r="H34" s="213">
        <v>-7.3849999999999998</v>
      </c>
      <c r="I34" s="324">
        <v>-6.1497900000000003</v>
      </c>
      <c r="J34" s="176">
        <v>-0.46899999999999997</v>
      </c>
      <c r="K34" s="37"/>
      <c r="L34" s="34"/>
    </row>
    <row r="35" spans="1:12" ht="18" customHeight="1" x14ac:dyDescent="0.35">
      <c r="A35" s="854" t="s">
        <v>18</v>
      </c>
      <c r="B35" s="854"/>
      <c r="C35" s="685">
        <f t="shared" ref="C35:H35" si="2">SUM(C32:C34)</f>
        <v>0</v>
      </c>
      <c r="D35" s="192">
        <f t="shared" si="2"/>
        <v>0</v>
      </c>
      <c r="E35" s="676">
        <f t="shared" si="2"/>
        <v>-6.5120000000000005</v>
      </c>
      <c r="F35" s="96">
        <f t="shared" si="2"/>
        <v>-39.613569999999996</v>
      </c>
      <c r="G35" s="352">
        <f t="shared" si="2"/>
        <v>-103.10000000000001</v>
      </c>
      <c r="H35" s="117">
        <f t="shared" si="2"/>
        <v>-3.74918</v>
      </c>
      <c r="I35" s="378">
        <f t="shared" ref="I35:J35" si="3">SUM(I32:I34)</f>
        <v>-12.908609999999999</v>
      </c>
      <c r="J35" s="192">
        <f t="shared" si="3"/>
        <v>-0.46899999999999997</v>
      </c>
      <c r="K35" s="38"/>
      <c r="L35" s="34"/>
    </row>
    <row r="36" spans="1:12" ht="18" customHeight="1" x14ac:dyDescent="0.35">
      <c r="A36" s="512"/>
      <c r="B36" s="44"/>
      <c r="C36" s="706"/>
      <c r="D36" s="103"/>
      <c r="E36" s="550"/>
      <c r="F36" s="111"/>
      <c r="G36" s="444"/>
      <c r="H36" s="127"/>
      <c r="I36" s="289"/>
      <c r="J36" s="103"/>
      <c r="K36" s="36"/>
      <c r="L36" s="34"/>
    </row>
    <row r="37" spans="1:12" ht="18" customHeight="1" x14ac:dyDescent="0.35">
      <c r="A37" s="855" t="s">
        <v>49</v>
      </c>
      <c r="B37" s="856"/>
      <c r="C37" s="714">
        <f>SUM(C22,C30,C35)</f>
        <v>673.67800000000011</v>
      </c>
      <c r="D37" s="105">
        <f>SUM(D22,D30,D35)</f>
        <v>700.85400000000004</v>
      </c>
      <c r="E37" s="555">
        <f>SUM(E22,E30,E35)</f>
        <v>817.84132</v>
      </c>
      <c r="F37" s="95">
        <f>F22+F30+F35</f>
        <v>486.15503999999999</v>
      </c>
      <c r="G37" s="357">
        <f t="shared" ref="G37:J37" si="4">G22+G30+G35</f>
        <v>477.6</v>
      </c>
      <c r="H37" s="118">
        <f t="shared" si="4"/>
        <v>544.94538</v>
      </c>
      <c r="I37" s="302">
        <f t="shared" si="4"/>
        <v>508.81107000000003</v>
      </c>
      <c r="J37" s="105">
        <f t="shared" si="4"/>
        <v>473.92500000000001</v>
      </c>
      <c r="K37" s="38"/>
      <c r="L37" s="34"/>
    </row>
    <row r="38" spans="1:12" ht="15.5" x14ac:dyDescent="0.35">
      <c r="A38" s="515"/>
      <c r="B38" s="34"/>
      <c r="C38" s="651"/>
      <c r="D38" s="651"/>
      <c r="E38" s="553"/>
      <c r="I38" s="244"/>
      <c r="J38" s="102"/>
      <c r="K38" s="34"/>
      <c r="L38" s="34"/>
    </row>
  </sheetData>
  <mergeCells count="5">
    <mergeCell ref="A2:B2"/>
    <mergeCell ref="A35:B35"/>
    <mergeCell ref="A37:B37"/>
    <mergeCell ref="A5:B5"/>
    <mergeCell ref="A22:B22"/>
  </mergeCells>
  <phoneticPr fontId="6" type="noConversion"/>
  <printOptions horizontalCentered="1"/>
  <pageMargins left="0.70866141732283472" right="0.70866141732283472" top="0.21" bottom="0.18" header="0.21" footer="0.19"/>
  <pageSetup paperSize="9" scale="87" orientation="landscape" r:id="rId1"/>
  <headerFooter>
    <oddFooter>&amp;L_x000D_&amp;1#&amp;"Aptos"&amp;10&amp;K000000 Data sensitivity - Internal&amp;RPage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4"/>
  <sheetViews>
    <sheetView topLeftCell="A18" workbookViewId="0">
      <selection activeCell="C10" sqref="C10"/>
    </sheetView>
  </sheetViews>
  <sheetFormatPr baseColWidth="10" defaultRowHeight="14.5" x14ac:dyDescent="0.35"/>
  <cols>
    <col min="1" max="1" width="4.36328125" customWidth="1"/>
    <col min="2" max="2" width="33.453125" customWidth="1"/>
    <col min="3" max="11" width="8.1796875" customWidth="1"/>
    <col min="12" max="12" width="1.90625" customWidth="1"/>
    <col min="13" max="15" width="8.54296875" style="369" customWidth="1"/>
    <col min="16" max="16" width="2" customWidth="1"/>
    <col min="17" max="19" width="8.453125" style="60" customWidth="1"/>
    <col min="20" max="20" width="2.08984375" customWidth="1"/>
    <col min="21" max="23" width="8.54296875" style="111" customWidth="1"/>
    <col min="24" max="24" width="2" customWidth="1"/>
    <col min="25" max="27" width="8.453125" style="243" customWidth="1"/>
    <col min="28" max="28" width="2" customWidth="1"/>
    <col min="29" max="31" width="8.453125" style="100" customWidth="1"/>
    <col min="32" max="32" width="2" customWidth="1"/>
  </cols>
  <sheetData>
    <row r="1" spans="1:32" ht="37.5" customHeight="1" thickBot="1" x14ac:dyDescent="0.55000000000000004">
      <c r="A1" s="853" t="s">
        <v>76</v>
      </c>
      <c r="B1" s="853"/>
      <c r="C1" s="78"/>
      <c r="D1" s="78"/>
      <c r="E1" s="78"/>
      <c r="F1" s="78"/>
      <c r="G1" s="78"/>
      <c r="H1" s="78"/>
      <c r="I1" s="78"/>
      <c r="J1" s="78"/>
      <c r="K1" s="78"/>
      <c r="L1" s="78"/>
      <c r="M1" s="368"/>
      <c r="N1" s="368" t="s">
        <v>93</v>
      </c>
      <c r="O1" s="368"/>
      <c r="P1" s="18"/>
      <c r="Q1" s="91"/>
      <c r="R1" s="91"/>
      <c r="S1" s="91"/>
      <c r="T1" s="18"/>
      <c r="U1" s="399"/>
      <c r="V1" s="399"/>
      <c r="W1" s="399"/>
      <c r="X1" s="18"/>
      <c r="Y1" s="242"/>
      <c r="Z1" s="242"/>
      <c r="AA1" s="242"/>
      <c r="AB1" s="78"/>
      <c r="AC1" s="99"/>
      <c r="AD1" s="99"/>
      <c r="AE1" s="99"/>
      <c r="AF1" s="78"/>
    </row>
    <row r="2" spans="1:32" ht="15" thickTop="1" x14ac:dyDescent="0.35"/>
    <row r="3" spans="1:32" ht="18" customHeight="1" x14ac:dyDescent="0.35">
      <c r="C3" s="882" t="s">
        <v>190</v>
      </c>
      <c r="D3" s="883"/>
      <c r="E3" s="884"/>
      <c r="F3" s="873" t="s">
        <v>189</v>
      </c>
      <c r="G3" s="874"/>
      <c r="H3" s="875"/>
      <c r="I3" s="879" t="s">
        <v>169</v>
      </c>
      <c r="J3" s="880"/>
      <c r="K3" s="881"/>
      <c r="L3" s="529"/>
      <c r="M3" s="870" t="s">
        <v>160</v>
      </c>
      <c r="N3" s="871"/>
      <c r="O3" s="872"/>
      <c r="P3" s="40"/>
      <c r="Q3" s="869" t="s">
        <v>153</v>
      </c>
      <c r="R3" s="869"/>
      <c r="S3" s="869"/>
      <c r="T3" s="17"/>
      <c r="U3" s="860" t="s">
        <v>145</v>
      </c>
      <c r="V3" s="861"/>
      <c r="W3" s="862"/>
      <c r="X3" s="15"/>
      <c r="Y3" s="876" t="s">
        <v>137</v>
      </c>
      <c r="Z3" s="877"/>
      <c r="AA3" s="878"/>
      <c r="AB3" s="17"/>
      <c r="AC3" s="873" t="s">
        <v>120</v>
      </c>
      <c r="AD3" s="874"/>
      <c r="AE3" s="875"/>
      <c r="AF3" s="17"/>
    </row>
    <row r="4" spans="1:32" ht="18" customHeight="1" x14ac:dyDescent="0.35">
      <c r="C4" s="656" t="s">
        <v>0</v>
      </c>
      <c r="D4" s="656" t="s">
        <v>1</v>
      </c>
      <c r="E4" s="656" t="s">
        <v>63</v>
      </c>
      <c r="F4" s="151" t="s">
        <v>0</v>
      </c>
      <c r="G4" s="151" t="s">
        <v>1</v>
      </c>
      <c r="H4" s="151" t="s">
        <v>63</v>
      </c>
      <c r="I4" s="527" t="s">
        <v>0</v>
      </c>
      <c r="J4" s="527" t="s">
        <v>1</v>
      </c>
      <c r="K4" s="527" t="s">
        <v>63</v>
      </c>
      <c r="L4" s="529"/>
      <c r="M4" s="488" t="s">
        <v>0</v>
      </c>
      <c r="N4" s="488" t="s">
        <v>1</v>
      </c>
      <c r="O4" s="488" t="s">
        <v>63</v>
      </c>
      <c r="P4" s="12"/>
      <c r="Q4" s="377" t="s">
        <v>0</v>
      </c>
      <c r="R4" s="377" t="s">
        <v>1</v>
      </c>
      <c r="S4" s="377" t="s">
        <v>63</v>
      </c>
      <c r="T4" s="17"/>
      <c r="U4" s="23" t="s">
        <v>0</v>
      </c>
      <c r="V4" s="23" t="s">
        <v>1</v>
      </c>
      <c r="W4" s="23" t="s">
        <v>63</v>
      </c>
      <c r="X4" s="16"/>
      <c r="Y4" s="288" t="s">
        <v>0</v>
      </c>
      <c r="Z4" s="288" t="s">
        <v>1</v>
      </c>
      <c r="AA4" s="288" t="s">
        <v>63</v>
      </c>
      <c r="AB4" s="17"/>
      <c r="AC4" s="151" t="s">
        <v>0</v>
      </c>
      <c r="AD4" s="151" t="s">
        <v>1</v>
      </c>
      <c r="AE4" s="151" t="s">
        <v>63</v>
      </c>
      <c r="AF4" s="17"/>
    </row>
    <row r="5" spans="1:32" ht="18" customHeight="1" x14ac:dyDescent="0.35">
      <c r="L5" s="529"/>
      <c r="M5" s="111"/>
      <c r="N5" s="111"/>
      <c r="O5" s="111"/>
      <c r="P5" s="41"/>
      <c r="Q5" s="426"/>
      <c r="R5" s="426"/>
      <c r="S5" s="426"/>
      <c r="T5" s="17"/>
      <c r="U5" s="400"/>
      <c r="V5" s="401"/>
      <c r="W5" s="401"/>
      <c r="X5" s="17"/>
      <c r="Y5" s="289"/>
      <c r="Z5" s="289"/>
      <c r="AA5" s="289"/>
      <c r="AB5" s="17"/>
      <c r="AC5" s="152"/>
      <c r="AD5" s="152"/>
      <c r="AE5" s="152"/>
      <c r="AF5" s="17"/>
    </row>
    <row r="6" spans="1:32" ht="18" customHeight="1" x14ac:dyDescent="0.35">
      <c r="B6" s="193" t="s">
        <v>177</v>
      </c>
      <c r="C6" s="682"/>
      <c r="D6" s="682"/>
      <c r="E6" s="682">
        <f>D6-C6</f>
        <v>0</v>
      </c>
      <c r="F6" s="640"/>
      <c r="G6" s="640"/>
      <c r="H6" s="640">
        <f>G6-F6</f>
        <v>0</v>
      </c>
      <c r="I6" s="673">
        <v>11.08222</v>
      </c>
      <c r="J6" s="673">
        <v>7.9889999999999999</v>
      </c>
      <c r="K6" s="673">
        <f>J6-I6</f>
        <v>-3.0932199999999996</v>
      </c>
      <c r="L6" s="530"/>
      <c r="M6" s="162"/>
      <c r="N6" s="162"/>
      <c r="O6" s="162">
        <f t="shared" ref="O6:O10" si="0">N6-M6</f>
        <v>0</v>
      </c>
      <c r="P6" s="199"/>
      <c r="Q6" s="427">
        <v>51.6</v>
      </c>
      <c r="R6" s="427">
        <v>39.6</v>
      </c>
      <c r="S6" s="427">
        <f>R6-Q6</f>
        <v>-12</v>
      </c>
      <c r="T6" s="80"/>
      <c r="U6" s="402">
        <v>41.447009999999999</v>
      </c>
      <c r="V6" s="402">
        <v>31.915749999999999</v>
      </c>
      <c r="W6" s="402">
        <f>V6-U6</f>
        <v>-9.5312599999999996</v>
      </c>
      <c r="X6" s="30"/>
      <c r="Y6" s="290">
        <v>60.643500000000003</v>
      </c>
      <c r="Z6" s="290">
        <v>60.396000000000001</v>
      </c>
      <c r="AA6" s="290">
        <f>Z6-Y6</f>
        <v>-0.24750000000000227</v>
      </c>
      <c r="AB6" s="256"/>
      <c r="AC6" s="251">
        <v>57.531999999999996</v>
      </c>
      <c r="AD6" s="251">
        <v>55.790999999999997</v>
      </c>
      <c r="AE6" s="196">
        <f t="shared" ref="AE6:AE10" si="1">AD6-AC6</f>
        <v>-1.7409999999999997</v>
      </c>
      <c r="AF6" s="80"/>
    </row>
    <row r="7" spans="1:32" ht="18" customHeight="1" x14ac:dyDescent="0.35">
      <c r="B7" s="194" t="s">
        <v>64</v>
      </c>
      <c r="C7" s="682">
        <v>172.17400000000001</v>
      </c>
      <c r="D7" s="682">
        <v>162.21100000000001</v>
      </c>
      <c r="E7" s="682">
        <f t="shared" ref="E7:E9" si="2">D7-C7</f>
        <v>-9.9629999999999939</v>
      </c>
      <c r="F7" s="640">
        <v>118.432</v>
      </c>
      <c r="G7" s="640">
        <v>121.464</v>
      </c>
      <c r="H7" s="640">
        <f t="shared" ref="H7:H9" si="3">G7-F7</f>
        <v>3.0319999999999965</v>
      </c>
      <c r="I7" s="673">
        <v>108.71850999999999</v>
      </c>
      <c r="J7" s="673">
        <v>105.288</v>
      </c>
      <c r="K7" s="673">
        <f t="shared" ref="K7:K43" si="4">J7-I7</f>
        <v>-3.4305099999999982</v>
      </c>
      <c r="L7" s="530"/>
      <c r="M7" s="168">
        <v>132.87100000000001</v>
      </c>
      <c r="N7" s="168">
        <v>116.00275000000001</v>
      </c>
      <c r="O7" s="168">
        <f t="shared" si="0"/>
        <v>-16.868250000000003</v>
      </c>
      <c r="P7" s="199"/>
      <c r="Q7" s="428"/>
      <c r="R7" s="428"/>
      <c r="S7" s="428">
        <f t="shared" ref="S7:S43" si="5">R7-Q7</f>
        <v>0</v>
      </c>
      <c r="T7" s="80"/>
      <c r="U7" s="403">
        <v>138.26322999999999</v>
      </c>
      <c r="V7" s="403">
        <v>143.13</v>
      </c>
      <c r="W7" s="403">
        <f>V7-U7</f>
        <v>4.8667700000000025</v>
      </c>
      <c r="X7" s="31"/>
      <c r="Y7" s="291">
        <v>135.37194</v>
      </c>
      <c r="Z7" s="291">
        <v>148.2345</v>
      </c>
      <c r="AA7" s="291">
        <f>Z7-Y7</f>
        <v>12.862560000000002</v>
      </c>
      <c r="AB7" s="256"/>
      <c r="AC7" s="252">
        <v>140.19999999999999</v>
      </c>
      <c r="AD7" s="252">
        <v>147.33500000000001</v>
      </c>
      <c r="AE7" s="254">
        <f t="shared" si="1"/>
        <v>7.1350000000000193</v>
      </c>
      <c r="AF7" s="80"/>
    </row>
    <row r="8" spans="1:32" ht="18" customHeight="1" x14ac:dyDescent="0.35">
      <c r="B8" s="194" t="s">
        <v>175</v>
      </c>
      <c r="C8" s="682">
        <v>67.180999999999997</v>
      </c>
      <c r="D8" s="682">
        <v>64.308999999999997</v>
      </c>
      <c r="E8" s="682">
        <f t="shared" si="2"/>
        <v>-2.8719999999999999</v>
      </c>
      <c r="F8" s="640">
        <v>53.771000000000001</v>
      </c>
      <c r="G8" s="640">
        <v>60.65</v>
      </c>
      <c r="H8" s="640">
        <f t="shared" si="3"/>
        <v>6.8789999999999978</v>
      </c>
      <c r="I8" s="673">
        <v>50.7104</v>
      </c>
      <c r="J8" s="673">
        <v>65.128</v>
      </c>
      <c r="K8" s="673">
        <f t="shared" si="4"/>
        <v>14.4176</v>
      </c>
      <c r="L8" s="530"/>
      <c r="M8" s="168"/>
      <c r="N8" s="168"/>
      <c r="O8" s="168">
        <f t="shared" si="0"/>
        <v>0</v>
      </c>
      <c r="P8" s="199"/>
      <c r="Q8" s="428"/>
      <c r="R8" s="428"/>
      <c r="S8" s="428">
        <f t="shared" si="5"/>
        <v>0</v>
      </c>
      <c r="T8" s="80"/>
      <c r="U8" s="403">
        <v>41.167850000000001</v>
      </c>
      <c r="V8" s="403">
        <v>42.427</v>
      </c>
      <c r="W8" s="403">
        <f>V8-U8</f>
        <v>1.2591499999999982</v>
      </c>
      <c r="X8" s="31"/>
      <c r="Y8" s="291">
        <v>49.458829999999999</v>
      </c>
      <c r="Z8" s="291">
        <v>52.252499999999998</v>
      </c>
      <c r="AA8" s="291">
        <f>Z8-Y8</f>
        <v>2.7936699999999988</v>
      </c>
      <c r="AB8" s="80"/>
      <c r="AC8" s="252">
        <v>51.372999999999998</v>
      </c>
      <c r="AD8" s="252">
        <v>57.941000000000003</v>
      </c>
      <c r="AE8" s="254">
        <f t="shared" si="1"/>
        <v>6.5680000000000049</v>
      </c>
      <c r="AF8" s="80"/>
    </row>
    <row r="9" spans="1:32" ht="18" customHeight="1" x14ac:dyDescent="0.35">
      <c r="B9" s="195" t="s">
        <v>65</v>
      </c>
      <c r="C9" s="682">
        <v>161.28800000000001</v>
      </c>
      <c r="D9" s="682">
        <v>198.251</v>
      </c>
      <c r="E9" s="682">
        <f t="shared" si="2"/>
        <v>36.962999999999994</v>
      </c>
      <c r="F9" s="640">
        <v>159.91900000000001</v>
      </c>
      <c r="G9" s="640">
        <v>180.43</v>
      </c>
      <c r="H9" s="640">
        <f t="shared" si="3"/>
        <v>20.510999999999996</v>
      </c>
      <c r="I9" s="673">
        <v>129.75239999999999</v>
      </c>
      <c r="J9" s="673">
        <v>163.70599999999999</v>
      </c>
      <c r="K9" s="673">
        <f t="shared" si="4"/>
        <v>33.953599999999994</v>
      </c>
      <c r="L9" s="530"/>
      <c r="M9" s="177">
        <v>136.65308999999999</v>
      </c>
      <c r="N9" s="177">
        <v>166.51400000000001</v>
      </c>
      <c r="O9" s="177">
        <f t="shared" si="0"/>
        <v>29.860910000000018</v>
      </c>
      <c r="P9" s="199"/>
      <c r="Q9" s="429">
        <v>36.299999999999997</v>
      </c>
      <c r="R9" s="429">
        <v>40.9</v>
      </c>
      <c r="S9" s="429">
        <f t="shared" si="5"/>
        <v>4.6000000000000014</v>
      </c>
      <c r="T9" s="80"/>
      <c r="U9" s="241">
        <v>0.5</v>
      </c>
      <c r="V9" s="241"/>
      <c r="W9" s="241">
        <f>V9-U9</f>
        <v>-0.5</v>
      </c>
      <c r="X9" s="31"/>
      <c r="Y9" s="292">
        <v>152.77835999999999</v>
      </c>
      <c r="Z9" s="292">
        <v>179.78149999999999</v>
      </c>
      <c r="AA9" s="292">
        <f>Z9-Y9</f>
        <v>27.003140000000002</v>
      </c>
      <c r="AB9" s="80"/>
      <c r="AC9" s="253">
        <v>156.74299999999999</v>
      </c>
      <c r="AD9" s="253">
        <v>186.858</v>
      </c>
      <c r="AE9" s="255">
        <f t="shared" si="1"/>
        <v>30.115000000000009</v>
      </c>
      <c r="AF9" s="80"/>
    </row>
    <row r="10" spans="1:32" ht="18" customHeight="1" x14ac:dyDescent="0.35">
      <c r="A10" s="808" t="s">
        <v>23</v>
      </c>
      <c r="B10" s="863"/>
      <c r="C10" s="683">
        <f t="shared" ref="C10:K10" si="6">SUM(C6:C9)</f>
        <v>400.64300000000003</v>
      </c>
      <c r="D10" s="683">
        <f t="shared" si="6"/>
        <v>424.77100000000002</v>
      </c>
      <c r="E10" s="683">
        <f t="shared" si="6"/>
        <v>24.128</v>
      </c>
      <c r="F10" s="679">
        <f t="shared" si="6"/>
        <v>332.12200000000001</v>
      </c>
      <c r="G10" s="679">
        <f t="shared" si="6"/>
        <v>362.54399999999998</v>
      </c>
      <c r="H10" s="679">
        <f t="shared" si="6"/>
        <v>30.42199999999999</v>
      </c>
      <c r="I10" s="674">
        <f t="shared" si="6"/>
        <v>300.26352999999995</v>
      </c>
      <c r="J10" s="674">
        <f t="shared" si="6"/>
        <v>342.11099999999999</v>
      </c>
      <c r="K10" s="674">
        <f t="shared" si="6"/>
        <v>41.847469999999994</v>
      </c>
      <c r="L10" s="531"/>
      <c r="M10" s="112">
        <f>SUM(M6:M9)</f>
        <v>269.52409</v>
      </c>
      <c r="N10" s="112">
        <f>SUM(N6:N9)</f>
        <v>282.51675</v>
      </c>
      <c r="O10" s="112">
        <f t="shared" si="0"/>
        <v>12.992660000000001</v>
      </c>
      <c r="P10" s="42"/>
      <c r="Q10" s="430">
        <f>SUM(Q6:Q9)</f>
        <v>87.9</v>
      </c>
      <c r="R10" s="430">
        <f>SUM(R6:R9)</f>
        <v>80.5</v>
      </c>
      <c r="S10" s="431">
        <f t="shared" si="5"/>
        <v>-7.4000000000000057</v>
      </c>
      <c r="T10" s="81"/>
      <c r="U10" s="404">
        <f>SUM(U6:U9)</f>
        <v>221.37808999999999</v>
      </c>
      <c r="V10" s="200">
        <f>SUM(V6:V9)</f>
        <v>217.47274999999999</v>
      </c>
      <c r="W10" s="200">
        <f>SUM(W6:W9)</f>
        <v>-3.9053399999999989</v>
      </c>
      <c r="X10" s="32"/>
      <c r="Y10" s="293">
        <f>SUM(Y6:Y9)</f>
        <v>398.25263000000001</v>
      </c>
      <c r="Z10" s="293">
        <f>SUM(Z6:Z9)</f>
        <v>440.66449999999998</v>
      </c>
      <c r="AA10" s="293">
        <f>Z10-Y10</f>
        <v>42.411869999999965</v>
      </c>
      <c r="AB10" s="81"/>
      <c r="AC10" s="125">
        <f>SUM(AC6:AC9)</f>
        <v>405.84799999999996</v>
      </c>
      <c r="AD10" s="125">
        <f>SUM(AD6:AD9)</f>
        <v>447.92500000000001</v>
      </c>
      <c r="AE10" s="153">
        <f t="shared" si="1"/>
        <v>42.077000000000055</v>
      </c>
      <c r="AF10" s="81"/>
    </row>
    <row r="11" spans="1:32" ht="7.5" customHeight="1" x14ac:dyDescent="0.35">
      <c r="C11" s="780"/>
      <c r="D11" s="780"/>
      <c r="E11" s="780"/>
      <c r="F11" s="585"/>
      <c r="G11" s="585"/>
      <c r="H11" s="100"/>
      <c r="I11" s="581"/>
      <c r="J11" s="581"/>
      <c r="K11" s="675" t="s">
        <v>93</v>
      </c>
      <c r="L11" s="529"/>
      <c r="M11" s="111"/>
      <c r="N11" s="111"/>
      <c r="O11" s="111"/>
      <c r="P11" s="199"/>
      <c r="Q11" s="426"/>
      <c r="R11" s="426"/>
      <c r="S11" s="432"/>
      <c r="T11" s="17"/>
      <c r="U11" s="860"/>
      <c r="V11" s="861"/>
      <c r="W11" s="861"/>
      <c r="X11" s="31"/>
      <c r="Y11" s="289"/>
      <c r="Z11" s="289"/>
      <c r="AA11" s="289"/>
      <c r="AB11" s="17"/>
      <c r="AC11" s="149"/>
      <c r="AD11" s="149"/>
      <c r="AE11" s="154"/>
      <c r="AF11" s="17"/>
    </row>
    <row r="12" spans="1:32" ht="18" customHeight="1" x14ac:dyDescent="0.35">
      <c r="B12" s="193" t="s">
        <v>107</v>
      </c>
      <c r="C12" s="682">
        <v>7.1999999999999995E-2</v>
      </c>
      <c r="D12" s="682"/>
      <c r="E12" s="682">
        <f t="shared" ref="E12:E19" si="7">D12-C12</f>
        <v>-7.1999999999999995E-2</v>
      </c>
      <c r="F12" s="640">
        <f>0.225-0.215</f>
        <v>1.0000000000000009E-2</v>
      </c>
      <c r="G12" s="640"/>
      <c r="H12" s="640">
        <f t="shared" ref="H12:H19" si="8">G12-F12</f>
        <v>-1.0000000000000009E-2</v>
      </c>
      <c r="I12" s="673">
        <v>37.962000000000003</v>
      </c>
      <c r="J12" s="673">
        <v>23.547000000000001</v>
      </c>
      <c r="K12" s="673">
        <f t="shared" si="4"/>
        <v>-14.415000000000003</v>
      </c>
      <c r="L12" s="256"/>
      <c r="M12" s="162"/>
      <c r="N12" s="162"/>
      <c r="O12" s="162">
        <f>N12-M12</f>
        <v>0</v>
      </c>
      <c r="P12" s="199"/>
      <c r="Q12" s="427"/>
      <c r="R12" s="427"/>
      <c r="S12" s="427">
        <f t="shared" si="5"/>
        <v>0</v>
      </c>
      <c r="T12" s="80"/>
      <c r="U12" s="402"/>
      <c r="V12" s="402"/>
      <c r="W12" s="402">
        <f t="shared" ref="W12:W17" si="9">V12-U12</f>
        <v>0</v>
      </c>
      <c r="X12" s="31"/>
      <c r="Y12" s="290">
        <v>67.004540000000006</v>
      </c>
      <c r="Z12" s="290">
        <v>39.752249999999997</v>
      </c>
      <c r="AA12" s="290">
        <f>Z12-Y12</f>
        <v>-27.252290000000009</v>
      </c>
      <c r="AB12" s="80"/>
      <c r="AC12" s="251"/>
      <c r="AD12" s="331"/>
      <c r="AE12" s="196">
        <f t="shared" ref="AE12:AE17" si="10">AD12-AC12</f>
        <v>0</v>
      </c>
      <c r="AF12" s="80"/>
    </row>
    <row r="13" spans="1:32" ht="18" customHeight="1" x14ac:dyDescent="0.35">
      <c r="B13" s="194" t="s">
        <v>192</v>
      </c>
      <c r="C13" s="682"/>
      <c r="D13" s="682">
        <v>28.327999999999999</v>
      </c>
      <c r="E13" s="682">
        <f t="shared" si="7"/>
        <v>28.327999999999999</v>
      </c>
      <c r="F13" s="640"/>
      <c r="G13" s="640">
        <v>27.984000000000002</v>
      </c>
      <c r="H13" s="640">
        <f t="shared" si="8"/>
        <v>27.984000000000002</v>
      </c>
      <c r="I13" s="673">
        <v>0</v>
      </c>
      <c r="J13" s="673">
        <v>30.856000000000002</v>
      </c>
      <c r="K13" s="673">
        <f t="shared" si="4"/>
        <v>30.856000000000002</v>
      </c>
      <c r="L13" s="256"/>
      <c r="M13" s="168"/>
      <c r="N13" s="168">
        <v>28.507999999999999</v>
      </c>
      <c r="O13" s="168">
        <f t="shared" ref="O13:O19" si="11">N13-M13</f>
        <v>28.507999999999999</v>
      </c>
      <c r="P13" s="199"/>
      <c r="Q13" s="428"/>
      <c r="R13" s="428"/>
      <c r="S13" s="428">
        <f t="shared" si="5"/>
        <v>0</v>
      </c>
      <c r="T13" s="80"/>
      <c r="U13" s="403"/>
      <c r="V13" s="403">
        <v>28.611000000000001</v>
      </c>
      <c r="W13" s="403">
        <f t="shared" si="9"/>
        <v>28.611000000000001</v>
      </c>
      <c r="X13" s="31"/>
      <c r="Y13" s="291">
        <v>0</v>
      </c>
      <c r="Z13" s="291">
        <v>28.628499999999999</v>
      </c>
      <c r="AA13" s="291">
        <f t="shared" ref="AA13:AA19" si="12">Z13-Y13</f>
        <v>28.628499999999999</v>
      </c>
      <c r="AB13" s="80"/>
      <c r="AC13" s="277">
        <v>0</v>
      </c>
      <c r="AD13" s="277">
        <v>29.4</v>
      </c>
      <c r="AE13" s="254">
        <f t="shared" si="10"/>
        <v>29.4</v>
      </c>
      <c r="AF13" s="80"/>
    </row>
    <row r="14" spans="1:32" ht="18" customHeight="1" x14ac:dyDescent="0.35">
      <c r="B14" s="194" t="s">
        <v>121</v>
      </c>
      <c r="C14" s="682">
        <v>11.063000000000001</v>
      </c>
      <c r="D14" s="682">
        <v>6.76</v>
      </c>
      <c r="E14" s="682">
        <f t="shared" si="7"/>
        <v>-4.3030000000000008</v>
      </c>
      <c r="F14" s="640">
        <v>8.6120000000000001</v>
      </c>
      <c r="G14" s="640">
        <v>5.9969999999999999</v>
      </c>
      <c r="H14" s="640">
        <f t="shared" si="8"/>
        <v>-2.6150000000000002</v>
      </c>
      <c r="I14" s="673">
        <v>10.099</v>
      </c>
      <c r="J14" s="673">
        <v>5.0430000000000001</v>
      </c>
      <c r="K14" s="673">
        <f t="shared" si="4"/>
        <v>-5.056</v>
      </c>
      <c r="L14" s="256"/>
      <c r="M14" s="168">
        <v>4.4967300000000003</v>
      </c>
      <c r="N14" s="168">
        <v>4.4409999999999998</v>
      </c>
      <c r="O14" s="168">
        <f t="shared" si="11"/>
        <v>-5.5730000000000501E-2</v>
      </c>
      <c r="P14" s="199"/>
      <c r="Q14" s="428"/>
      <c r="R14" s="428"/>
      <c r="S14" s="428">
        <f t="shared" si="5"/>
        <v>0</v>
      </c>
      <c r="T14" s="80"/>
      <c r="U14" s="403">
        <v>0.97248000000000001</v>
      </c>
      <c r="V14" s="403">
        <v>0.54500000000000004</v>
      </c>
      <c r="W14" s="403">
        <f t="shared" si="9"/>
        <v>-0.42747999999999997</v>
      </c>
      <c r="X14" s="31"/>
      <c r="Y14" s="291">
        <v>8.7173599999999993</v>
      </c>
      <c r="Z14" s="291">
        <v>4.7035</v>
      </c>
      <c r="AA14" s="291">
        <f t="shared" si="12"/>
        <v>-4.0138599999999993</v>
      </c>
      <c r="AB14" s="80"/>
      <c r="AC14" s="252">
        <v>3.94</v>
      </c>
      <c r="AD14" s="252">
        <v>5.6879999999999997</v>
      </c>
      <c r="AE14" s="254">
        <f t="shared" si="10"/>
        <v>1.7479999999999998</v>
      </c>
      <c r="AF14" s="80"/>
    </row>
    <row r="15" spans="1:32" ht="18" customHeight="1" x14ac:dyDescent="0.35">
      <c r="B15" s="194" t="s">
        <v>66</v>
      </c>
      <c r="C15" s="682">
        <v>25.359000000000002</v>
      </c>
      <c r="D15" s="682">
        <v>17.55</v>
      </c>
      <c r="E15" s="682">
        <f t="shared" si="7"/>
        <v>-7.8090000000000011</v>
      </c>
      <c r="F15" s="640">
        <v>19.036999999999999</v>
      </c>
      <c r="G15" s="640">
        <v>15.44</v>
      </c>
      <c r="H15" s="640">
        <f t="shared" si="8"/>
        <v>-3.5969999999999995</v>
      </c>
      <c r="I15" s="673">
        <v>23.100999999999999</v>
      </c>
      <c r="J15" s="673">
        <v>16.670000000000002</v>
      </c>
      <c r="K15" s="673">
        <f t="shared" si="4"/>
        <v>-6.4309999999999974</v>
      </c>
      <c r="L15" s="256"/>
      <c r="M15" s="168">
        <v>5.0456000000000003</v>
      </c>
      <c r="N15" s="168"/>
      <c r="O15" s="168">
        <f t="shared" si="11"/>
        <v>-5.0456000000000003</v>
      </c>
      <c r="P15" s="199"/>
      <c r="Q15" s="428"/>
      <c r="R15" s="428"/>
      <c r="S15" s="428">
        <f t="shared" si="5"/>
        <v>0</v>
      </c>
      <c r="T15" s="80"/>
      <c r="U15" s="403">
        <v>0.2467</v>
      </c>
      <c r="V15" s="403"/>
      <c r="W15" s="403">
        <f t="shared" si="9"/>
        <v>-0.2467</v>
      </c>
      <c r="X15" s="31"/>
      <c r="Y15" s="291">
        <v>31.06251</v>
      </c>
      <c r="Z15" s="291">
        <v>26.208880000000001</v>
      </c>
      <c r="AA15" s="291">
        <f t="shared" si="12"/>
        <v>-4.853629999999999</v>
      </c>
      <c r="AB15" s="80"/>
      <c r="AC15" s="252">
        <v>30.81</v>
      </c>
      <c r="AD15" s="252">
        <v>23.04</v>
      </c>
      <c r="AE15" s="254">
        <f t="shared" si="10"/>
        <v>-7.77</v>
      </c>
      <c r="AF15" s="80"/>
    </row>
    <row r="16" spans="1:32" ht="18" customHeight="1" x14ac:dyDescent="0.35">
      <c r="B16" s="194" t="s">
        <v>67</v>
      </c>
      <c r="C16" s="682"/>
      <c r="D16" s="682">
        <v>28.692</v>
      </c>
      <c r="E16" s="682">
        <f t="shared" si="7"/>
        <v>28.692</v>
      </c>
      <c r="F16" s="640"/>
      <c r="G16" s="640">
        <v>26.356000000000002</v>
      </c>
      <c r="H16" s="640">
        <f t="shared" si="8"/>
        <v>26.356000000000002</v>
      </c>
      <c r="I16" s="673">
        <v>0</v>
      </c>
      <c r="J16" s="673">
        <v>25.783000000000001</v>
      </c>
      <c r="K16" s="673">
        <f t="shared" si="4"/>
        <v>25.783000000000001</v>
      </c>
      <c r="L16" s="256"/>
      <c r="M16" s="168"/>
      <c r="N16" s="168">
        <v>23.52</v>
      </c>
      <c r="O16" s="168">
        <f t="shared" si="11"/>
        <v>23.52</v>
      </c>
      <c r="P16" s="199"/>
      <c r="Q16" s="428"/>
      <c r="R16" s="428">
        <v>8.3000000000000007</v>
      </c>
      <c r="S16" s="428">
        <f t="shared" si="5"/>
        <v>8.3000000000000007</v>
      </c>
      <c r="T16" s="80"/>
      <c r="U16" s="403"/>
      <c r="V16" s="403">
        <v>24.294</v>
      </c>
      <c r="W16" s="403">
        <f t="shared" si="9"/>
        <v>24.294</v>
      </c>
      <c r="X16" s="31"/>
      <c r="Y16" s="291">
        <v>0</v>
      </c>
      <c r="Z16" s="291">
        <v>23.535</v>
      </c>
      <c r="AA16" s="291">
        <f t="shared" si="12"/>
        <v>23.535</v>
      </c>
      <c r="AB16" s="80"/>
      <c r="AC16" s="252">
        <v>0</v>
      </c>
      <c r="AD16" s="252">
        <v>23.175000000000001</v>
      </c>
      <c r="AE16" s="254">
        <f t="shared" si="10"/>
        <v>23.175000000000001</v>
      </c>
      <c r="AF16" s="80"/>
    </row>
    <row r="17" spans="1:32" ht="18" customHeight="1" x14ac:dyDescent="0.35">
      <c r="B17" s="195" t="s">
        <v>68</v>
      </c>
      <c r="C17" s="682">
        <v>13.657</v>
      </c>
      <c r="D17" s="682">
        <v>9.7750000000000004</v>
      </c>
      <c r="E17" s="682">
        <f t="shared" si="7"/>
        <v>-3.8819999999999997</v>
      </c>
      <c r="F17" s="640">
        <v>13.103999999999999</v>
      </c>
      <c r="G17" s="640">
        <v>8.5250000000000004</v>
      </c>
      <c r="H17" s="640">
        <f t="shared" si="8"/>
        <v>-4.5789999999999988</v>
      </c>
      <c r="I17" s="673">
        <v>18.596</v>
      </c>
      <c r="J17" s="673">
        <v>9.9550000000000001</v>
      </c>
      <c r="K17" s="673">
        <f t="shared" si="4"/>
        <v>-8.641</v>
      </c>
      <c r="L17" s="256"/>
      <c r="M17" s="177">
        <v>19.11551</v>
      </c>
      <c r="N17" s="177">
        <v>8.7050000000000001</v>
      </c>
      <c r="O17" s="177">
        <f t="shared" si="11"/>
        <v>-10.41051</v>
      </c>
      <c r="P17" s="199"/>
      <c r="Q17" s="429"/>
      <c r="R17" s="429"/>
      <c r="S17" s="429">
        <f t="shared" si="5"/>
        <v>0</v>
      </c>
      <c r="T17" s="80"/>
      <c r="U17" s="241">
        <v>0.17399999999999999</v>
      </c>
      <c r="V17" s="241"/>
      <c r="W17" s="241">
        <f t="shared" si="9"/>
        <v>-0.17399999999999999</v>
      </c>
      <c r="X17" s="31"/>
      <c r="Y17" s="292">
        <v>18.520060000000001</v>
      </c>
      <c r="Z17" s="292">
        <v>15.711</v>
      </c>
      <c r="AA17" s="292">
        <f t="shared" si="12"/>
        <v>-2.8090600000000006</v>
      </c>
      <c r="AB17" s="80"/>
      <c r="AC17" s="253">
        <v>30.774000000000001</v>
      </c>
      <c r="AD17" s="253">
        <v>12.24</v>
      </c>
      <c r="AE17" s="255">
        <f t="shared" si="10"/>
        <v>-18.533999999999999</v>
      </c>
      <c r="AF17" s="80"/>
    </row>
    <row r="18" spans="1:32" ht="18" customHeight="1" x14ac:dyDescent="0.35">
      <c r="B18" s="658" t="s">
        <v>185</v>
      </c>
      <c r="C18" s="781"/>
      <c r="D18" s="781">
        <v>5</v>
      </c>
      <c r="E18" s="682">
        <f t="shared" si="7"/>
        <v>5</v>
      </c>
      <c r="F18" s="782"/>
      <c r="G18" s="782"/>
      <c r="H18" s="640">
        <f t="shared" si="8"/>
        <v>0</v>
      </c>
      <c r="I18" s="673"/>
      <c r="J18" s="673"/>
      <c r="K18" s="673">
        <f t="shared" si="4"/>
        <v>0</v>
      </c>
      <c r="L18" s="256"/>
      <c r="M18" s="659"/>
      <c r="N18" s="659"/>
      <c r="O18" s="659"/>
      <c r="P18" s="199"/>
      <c r="Q18" s="660"/>
      <c r="R18" s="660"/>
      <c r="S18" s="660"/>
      <c r="T18" s="80"/>
      <c r="U18" s="661"/>
      <c r="V18" s="662"/>
      <c r="W18" s="662"/>
      <c r="X18" s="31"/>
      <c r="Y18" s="663"/>
      <c r="Z18" s="663"/>
      <c r="AA18" s="663"/>
      <c r="AB18" s="80"/>
      <c r="AC18" s="664"/>
      <c r="AD18" s="664"/>
      <c r="AE18" s="665"/>
      <c r="AF18" s="80"/>
    </row>
    <row r="19" spans="1:32" ht="18" customHeight="1" x14ac:dyDescent="0.35">
      <c r="A19" s="808" t="s">
        <v>25</v>
      </c>
      <c r="B19" s="809"/>
      <c r="C19" s="683">
        <f>SUM(C12:C18)</f>
        <v>50.150999999999996</v>
      </c>
      <c r="D19" s="683">
        <f>SUM(D12:D18)</f>
        <v>96.105000000000018</v>
      </c>
      <c r="E19" s="683">
        <f t="shared" si="7"/>
        <v>45.954000000000022</v>
      </c>
      <c r="F19" s="679">
        <f>SUM(F12:F18)</f>
        <v>40.762999999999998</v>
      </c>
      <c r="G19" s="679">
        <f>SUM(G12:G18)</f>
        <v>84.302000000000007</v>
      </c>
      <c r="H19" s="679">
        <f t="shared" si="8"/>
        <v>43.539000000000009</v>
      </c>
      <c r="I19" s="676">
        <f>SUM(I12:I17)</f>
        <v>89.75800000000001</v>
      </c>
      <c r="J19" s="676">
        <f>SUM(J12:J17)</f>
        <v>111.85400000000001</v>
      </c>
      <c r="K19" s="674">
        <f t="shared" si="4"/>
        <v>22.096000000000004</v>
      </c>
      <c r="L19" s="532"/>
      <c r="M19" s="112">
        <f>SUM(M12:M17)</f>
        <v>28.65784</v>
      </c>
      <c r="N19" s="112">
        <f>SUM(N12:N17)</f>
        <v>65.173999999999992</v>
      </c>
      <c r="O19" s="112">
        <f t="shared" si="11"/>
        <v>36.516159999999992</v>
      </c>
      <c r="P19" s="42"/>
      <c r="Q19" s="430">
        <f>SUM(Q12:Q17)</f>
        <v>0</v>
      </c>
      <c r="R19" s="430">
        <f>SUM(R12:R17)</f>
        <v>8.3000000000000007</v>
      </c>
      <c r="S19" s="431">
        <f t="shared" si="5"/>
        <v>8.3000000000000007</v>
      </c>
      <c r="T19" s="81"/>
      <c r="U19" s="404">
        <f>SUM(U12:U17)</f>
        <v>1.3931799999999999</v>
      </c>
      <c r="V19" s="200">
        <f>SUM(V12:V17)</f>
        <v>53.45</v>
      </c>
      <c r="W19" s="200">
        <f>SUM(W12:W17)</f>
        <v>52.056820000000002</v>
      </c>
      <c r="X19" s="32"/>
      <c r="Y19" s="293">
        <f>SUM(Y12:Y17)</f>
        <v>125.30447000000001</v>
      </c>
      <c r="Z19" s="293">
        <f>SUM(Z12:Z17)</f>
        <v>138.53913</v>
      </c>
      <c r="AA19" s="293">
        <f t="shared" si="12"/>
        <v>13.234659999999991</v>
      </c>
      <c r="AB19" s="81"/>
      <c r="AC19" s="125">
        <f>SUM(AC12:AC17)</f>
        <v>65.524000000000001</v>
      </c>
      <c r="AD19" s="125">
        <f>SUM(AD12:AD17)</f>
        <v>93.542999999999992</v>
      </c>
      <c r="AE19" s="153">
        <f>AD19-AC19</f>
        <v>28.018999999999991</v>
      </c>
      <c r="AF19" s="81"/>
    </row>
    <row r="20" spans="1:32" ht="7.5" customHeight="1" x14ac:dyDescent="0.35">
      <c r="C20" s="684"/>
      <c r="D20" s="684"/>
      <c r="E20" s="684"/>
      <c r="F20" s="100"/>
      <c r="G20" s="100"/>
      <c r="H20" s="100"/>
      <c r="I20" s="581"/>
      <c r="J20" s="581"/>
      <c r="K20" s="675" t="s">
        <v>93</v>
      </c>
      <c r="L20" s="529"/>
      <c r="M20" s="111"/>
      <c r="N20" s="111"/>
      <c r="O20" s="111"/>
      <c r="P20" s="199"/>
      <c r="Q20" s="426"/>
      <c r="R20" s="426"/>
      <c r="S20" s="432"/>
      <c r="T20" s="17"/>
      <c r="U20" s="860"/>
      <c r="V20" s="861"/>
      <c r="W20" s="861"/>
      <c r="X20" s="31"/>
      <c r="Y20" s="289"/>
      <c r="Z20" s="289"/>
      <c r="AA20" s="289"/>
      <c r="AB20" s="17"/>
      <c r="AC20" s="149"/>
      <c r="AD20" s="155"/>
      <c r="AE20" s="154"/>
      <c r="AF20" s="17"/>
    </row>
    <row r="21" spans="1:32" ht="18" customHeight="1" x14ac:dyDescent="0.35">
      <c r="A21" s="13"/>
      <c r="B21" s="193" t="s">
        <v>176</v>
      </c>
      <c r="C21" s="783"/>
      <c r="D21" s="783"/>
      <c r="E21" s="682">
        <f t="shared" ref="E21:E26" si="13">D21-C21</f>
        <v>0</v>
      </c>
      <c r="F21" s="784">
        <v>94.53</v>
      </c>
      <c r="G21" s="784">
        <v>86.456000000000003</v>
      </c>
      <c r="H21" s="640">
        <f t="shared" ref="H21:H26" si="14">G21-F21</f>
        <v>-8.0739999999999981</v>
      </c>
      <c r="I21" s="673">
        <v>0</v>
      </c>
      <c r="J21" s="673">
        <v>0</v>
      </c>
      <c r="K21" s="673">
        <f t="shared" si="4"/>
        <v>0</v>
      </c>
      <c r="L21" s="256"/>
      <c r="M21" s="162"/>
      <c r="N21" s="162"/>
      <c r="O21" s="486">
        <f t="shared" ref="O21:O26" si="15">N21-M21</f>
        <v>0</v>
      </c>
      <c r="P21" s="199"/>
      <c r="Q21" s="427"/>
      <c r="R21" s="427"/>
      <c r="S21" s="427">
        <f t="shared" si="5"/>
        <v>0</v>
      </c>
      <c r="T21" s="80"/>
      <c r="U21" s="402"/>
      <c r="V21" s="402"/>
      <c r="W21" s="402">
        <f>V21-U21</f>
        <v>0</v>
      </c>
      <c r="X21" s="31"/>
      <c r="Y21" s="290">
        <v>152.58652000000001</v>
      </c>
      <c r="Z21" s="290">
        <v>87.26643</v>
      </c>
      <c r="AA21" s="294">
        <f t="shared" ref="AA21:AA26" si="16">Z21-Y21</f>
        <v>-65.320090000000008</v>
      </c>
      <c r="AB21" s="80"/>
      <c r="AC21" s="251"/>
      <c r="AD21" s="251"/>
      <c r="AE21" s="196">
        <f t="shared" ref="AE21:AE26" si="17">AD21-AC21</f>
        <v>0</v>
      </c>
      <c r="AF21" s="80"/>
    </row>
    <row r="22" spans="1:32" ht="18" customHeight="1" x14ac:dyDescent="0.35">
      <c r="A22" s="13"/>
      <c r="B22" s="194" t="s">
        <v>69</v>
      </c>
      <c r="C22" s="785">
        <v>7.6980000000000004</v>
      </c>
      <c r="D22" s="785">
        <v>15.36</v>
      </c>
      <c r="E22" s="682">
        <f t="shared" si="13"/>
        <v>7.661999999999999</v>
      </c>
      <c r="F22" s="786">
        <v>3.7589999999999999</v>
      </c>
      <c r="G22" s="786">
        <v>14.996</v>
      </c>
      <c r="H22" s="640">
        <f t="shared" si="14"/>
        <v>11.237</v>
      </c>
      <c r="I22" s="673">
        <v>4.6749999999999998</v>
      </c>
      <c r="J22" s="673">
        <v>14.948</v>
      </c>
      <c r="K22" s="673">
        <f t="shared" si="4"/>
        <v>10.273</v>
      </c>
      <c r="L22" s="256"/>
      <c r="M22" s="168">
        <v>4.5810000000000004</v>
      </c>
      <c r="N22" s="168">
        <v>12.215999999999999</v>
      </c>
      <c r="O22" s="168">
        <f t="shared" si="15"/>
        <v>7.6349999999999989</v>
      </c>
      <c r="P22" s="199"/>
      <c r="Q22" s="428"/>
      <c r="R22" s="428"/>
      <c r="S22" s="428">
        <f t="shared" si="5"/>
        <v>0</v>
      </c>
      <c r="T22" s="80"/>
      <c r="U22" s="403">
        <v>4.8375000000000004</v>
      </c>
      <c r="V22" s="403">
        <v>14.496</v>
      </c>
      <c r="W22" s="403">
        <f>V22-U22</f>
        <v>9.6585000000000001</v>
      </c>
      <c r="X22" s="31"/>
      <c r="Y22" s="291">
        <v>4.835</v>
      </c>
      <c r="Z22" s="291">
        <v>14.47</v>
      </c>
      <c r="AA22" s="291">
        <f t="shared" si="16"/>
        <v>9.6350000000000016</v>
      </c>
      <c r="AB22" s="80"/>
      <c r="AC22" s="252">
        <v>4.79</v>
      </c>
      <c r="AD22" s="252">
        <v>14.446</v>
      </c>
      <c r="AE22" s="254">
        <f t="shared" si="17"/>
        <v>9.6559999999999988</v>
      </c>
      <c r="AF22" s="80"/>
    </row>
    <row r="23" spans="1:32" ht="18" customHeight="1" x14ac:dyDescent="0.35">
      <c r="A23" s="13"/>
      <c r="B23" s="194" t="s">
        <v>70</v>
      </c>
      <c r="C23" s="785">
        <v>2.6819999999999999</v>
      </c>
      <c r="D23" s="785">
        <v>3.544</v>
      </c>
      <c r="E23" s="682">
        <f t="shared" si="13"/>
        <v>0.8620000000000001</v>
      </c>
      <c r="F23" s="786">
        <v>1.226</v>
      </c>
      <c r="G23" s="786">
        <v>3.2080000000000002</v>
      </c>
      <c r="H23" s="640">
        <f t="shared" si="14"/>
        <v>1.9820000000000002</v>
      </c>
      <c r="I23" s="673">
        <v>1.256</v>
      </c>
      <c r="J23" s="673">
        <v>3.3079999999999998</v>
      </c>
      <c r="K23" s="673">
        <f t="shared" si="4"/>
        <v>2.0519999999999996</v>
      </c>
      <c r="L23" s="256"/>
      <c r="M23" s="168">
        <v>1.2164999999999999</v>
      </c>
      <c r="N23" s="168">
        <v>3.22</v>
      </c>
      <c r="O23" s="168">
        <f t="shared" si="15"/>
        <v>2.0035000000000003</v>
      </c>
      <c r="P23" s="199"/>
      <c r="Q23" s="428"/>
      <c r="R23" s="428"/>
      <c r="S23" s="428">
        <f t="shared" si="5"/>
        <v>0</v>
      </c>
      <c r="T23" s="80"/>
      <c r="U23" s="403">
        <v>1.9777499999999999</v>
      </c>
      <c r="V23" s="403">
        <v>3.7290000000000001</v>
      </c>
      <c r="W23" s="403">
        <f>V23-U23</f>
        <v>1.7512500000000002</v>
      </c>
      <c r="X23" s="31"/>
      <c r="Y23" s="291">
        <v>1.9</v>
      </c>
      <c r="Z23" s="291">
        <v>3.8214999999999999</v>
      </c>
      <c r="AA23" s="291">
        <f t="shared" si="16"/>
        <v>1.9215</v>
      </c>
      <c r="AB23" s="80"/>
      <c r="AC23" s="252">
        <v>2.0169999999999999</v>
      </c>
      <c r="AD23" s="252">
        <v>4.0540000000000003</v>
      </c>
      <c r="AE23" s="254">
        <f t="shared" si="17"/>
        <v>2.0370000000000004</v>
      </c>
      <c r="AF23" s="80"/>
    </row>
    <row r="24" spans="1:32" ht="18" customHeight="1" x14ac:dyDescent="0.35">
      <c r="A24" s="13"/>
      <c r="B24" s="194" t="s">
        <v>71</v>
      </c>
      <c r="C24" s="785">
        <v>5.6219999999999999</v>
      </c>
      <c r="D24" s="785">
        <v>7.48</v>
      </c>
      <c r="E24" s="682">
        <f t="shared" si="13"/>
        <v>1.8580000000000005</v>
      </c>
      <c r="F24" s="786">
        <v>2.605</v>
      </c>
      <c r="G24" s="786">
        <v>6.8609999999999998</v>
      </c>
      <c r="H24" s="640">
        <f t="shared" si="14"/>
        <v>4.2560000000000002</v>
      </c>
      <c r="I24" s="673">
        <v>2.6749999999999998</v>
      </c>
      <c r="J24" s="673">
        <v>7.1159999999999997</v>
      </c>
      <c r="K24" s="673">
        <f t="shared" si="4"/>
        <v>4.4409999999999998</v>
      </c>
      <c r="L24" s="256"/>
      <c r="M24" s="168">
        <v>0.72899999999999998</v>
      </c>
      <c r="N24" s="168">
        <v>6.18</v>
      </c>
      <c r="O24" s="168">
        <f t="shared" si="15"/>
        <v>5.4509999999999996</v>
      </c>
      <c r="P24" s="199"/>
      <c r="Q24" s="428">
        <v>0.7</v>
      </c>
      <c r="R24" s="428">
        <v>1.5</v>
      </c>
      <c r="S24" s="428">
        <f t="shared" si="5"/>
        <v>0.8</v>
      </c>
      <c r="T24" s="80"/>
      <c r="U24" s="403"/>
      <c r="V24" s="403"/>
      <c r="W24" s="403">
        <f>V24-U24</f>
        <v>0</v>
      </c>
      <c r="X24" s="31"/>
      <c r="Y24" s="291">
        <v>3.6</v>
      </c>
      <c r="Z24" s="291">
        <v>7.2030000000000003</v>
      </c>
      <c r="AA24" s="291">
        <f t="shared" si="16"/>
        <v>3.6030000000000002</v>
      </c>
      <c r="AB24" s="80"/>
      <c r="AC24" s="252">
        <v>3.08</v>
      </c>
      <c r="AD24" s="252">
        <v>6.8520000000000003</v>
      </c>
      <c r="AE24" s="254">
        <f t="shared" si="17"/>
        <v>3.7720000000000002</v>
      </c>
      <c r="AF24" s="80"/>
    </row>
    <row r="25" spans="1:32" ht="18" customHeight="1" x14ac:dyDescent="0.35">
      <c r="A25" s="13"/>
      <c r="B25" s="195" t="s">
        <v>72</v>
      </c>
      <c r="C25" s="787">
        <v>1.8</v>
      </c>
      <c r="D25" s="787"/>
      <c r="E25" s="682">
        <f t="shared" si="13"/>
        <v>-1.8</v>
      </c>
      <c r="F25" s="788">
        <v>4.0620000000000003</v>
      </c>
      <c r="G25" s="788"/>
      <c r="H25" s="640">
        <f t="shared" si="14"/>
        <v>-4.0620000000000003</v>
      </c>
      <c r="I25" s="673">
        <v>2.3159999999999998</v>
      </c>
      <c r="J25" s="673">
        <v>0</v>
      </c>
      <c r="K25" s="673">
        <f t="shared" si="4"/>
        <v>-2.3159999999999998</v>
      </c>
      <c r="L25" s="256"/>
      <c r="M25" s="177"/>
      <c r="N25" s="177"/>
      <c r="O25" s="177">
        <f t="shared" si="15"/>
        <v>0</v>
      </c>
      <c r="P25" s="199"/>
      <c r="Q25" s="429"/>
      <c r="R25" s="429"/>
      <c r="S25" s="429">
        <f t="shared" si="5"/>
        <v>0</v>
      </c>
      <c r="T25" s="80"/>
      <c r="U25" s="241">
        <v>9.2064400000000006</v>
      </c>
      <c r="V25" s="241">
        <v>4.556</v>
      </c>
      <c r="W25" s="241">
        <f>V25-U25</f>
        <v>-4.6504400000000006</v>
      </c>
      <c r="X25" s="31"/>
      <c r="Y25" s="292">
        <v>1.36</v>
      </c>
      <c r="Z25" s="292">
        <v>0.4</v>
      </c>
      <c r="AA25" s="292">
        <f t="shared" si="16"/>
        <v>-0.96000000000000008</v>
      </c>
      <c r="AB25" s="256"/>
      <c r="AC25" s="253">
        <v>12.186999999999999</v>
      </c>
      <c r="AD25" s="253">
        <v>3.786</v>
      </c>
      <c r="AE25" s="255">
        <f t="shared" si="17"/>
        <v>-8.4009999999999998</v>
      </c>
      <c r="AF25" s="80"/>
    </row>
    <row r="26" spans="1:32" ht="18" customHeight="1" x14ac:dyDescent="0.35">
      <c r="A26" s="808" t="s">
        <v>73</v>
      </c>
      <c r="B26" s="809"/>
      <c r="C26" s="685">
        <f>SUM(C21:C25)</f>
        <v>17.802000000000003</v>
      </c>
      <c r="D26" s="685">
        <f>SUM(D21:D25)</f>
        <v>26.384</v>
      </c>
      <c r="E26" s="683">
        <f t="shared" si="13"/>
        <v>8.5819999999999972</v>
      </c>
      <c r="F26" s="192">
        <f>SUM(F21:F25)</f>
        <v>106.182</v>
      </c>
      <c r="G26" s="192">
        <f>SUM(G21:G25)</f>
        <v>111.521</v>
      </c>
      <c r="H26" s="679">
        <f t="shared" si="14"/>
        <v>5.3389999999999986</v>
      </c>
      <c r="I26" s="676">
        <f>SUM(I21:I25)</f>
        <v>10.922000000000001</v>
      </c>
      <c r="J26" s="676">
        <f>SUM(J22:J25)</f>
        <v>25.372</v>
      </c>
      <c r="K26" s="674">
        <f t="shared" si="4"/>
        <v>14.45</v>
      </c>
      <c r="L26" s="533"/>
      <c r="M26" s="98">
        <f>SUM(M21:M25)</f>
        <v>6.5265000000000004</v>
      </c>
      <c r="N26" s="98">
        <f>SUM(N21:N25)</f>
        <v>21.616</v>
      </c>
      <c r="O26" s="98">
        <f t="shared" si="15"/>
        <v>15.089499999999999</v>
      </c>
      <c r="P26" s="42"/>
      <c r="Q26" s="377">
        <f>SUM(Q21:Q25)</f>
        <v>0.7</v>
      </c>
      <c r="R26" s="377">
        <f>SUM(R21:R25)</f>
        <v>1.5</v>
      </c>
      <c r="S26" s="431">
        <f t="shared" si="5"/>
        <v>0.8</v>
      </c>
      <c r="T26" s="82"/>
      <c r="U26" s="404">
        <f>SUM(U21:U25)</f>
        <v>16.02169</v>
      </c>
      <c r="V26" s="200">
        <f>SUM(V21:V25)</f>
        <v>22.781000000000002</v>
      </c>
      <c r="W26" s="200">
        <f>SUM(W21:W25)</f>
        <v>6.7593100000000002</v>
      </c>
      <c r="X26" s="32"/>
      <c r="Y26" s="295">
        <f>SUM(Y21:Y25)</f>
        <v>164.28152000000003</v>
      </c>
      <c r="Z26" s="295">
        <f>SUM(Z21:Z25)</f>
        <v>113.16093000000001</v>
      </c>
      <c r="AA26" s="295">
        <f t="shared" si="16"/>
        <v>-51.120590000000021</v>
      </c>
      <c r="AB26" s="82"/>
      <c r="AC26" s="125">
        <f>SUM(AC21:AC25)</f>
        <v>22.073999999999998</v>
      </c>
      <c r="AD26" s="125">
        <f>SUM(AD21:AD25)</f>
        <v>29.138000000000002</v>
      </c>
      <c r="AE26" s="153">
        <f t="shared" si="17"/>
        <v>7.0640000000000036</v>
      </c>
      <c r="AF26" s="82"/>
    </row>
    <row r="27" spans="1:32" ht="7.5" customHeight="1" x14ac:dyDescent="0.35">
      <c r="C27" s="780"/>
      <c r="D27" s="780"/>
      <c r="E27" s="780"/>
      <c r="F27" s="585"/>
      <c r="G27" s="585"/>
      <c r="H27" s="100"/>
      <c r="I27" s="581"/>
      <c r="J27" s="581"/>
      <c r="K27" s="675" t="s">
        <v>93</v>
      </c>
      <c r="L27" s="529"/>
      <c r="M27" s="111"/>
      <c r="N27" s="111"/>
      <c r="O27" s="111"/>
      <c r="P27" s="199"/>
      <c r="Q27" s="426"/>
      <c r="R27" s="426"/>
      <c r="S27" s="432"/>
      <c r="T27" s="17"/>
      <c r="U27" s="860"/>
      <c r="V27" s="861"/>
      <c r="W27" s="861"/>
      <c r="X27" s="31"/>
      <c r="Y27" s="289"/>
      <c r="Z27" s="289"/>
      <c r="AA27" s="289"/>
      <c r="AB27" s="17"/>
      <c r="AC27" s="149"/>
      <c r="AD27" s="149"/>
      <c r="AE27" s="156"/>
      <c r="AF27" s="17"/>
    </row>
    <row r="28" spans="1:32" ht="18" customHeight="1" x14ac:dyDescent="0.35">
      <c r="B28" s="677" t="s">
        <v>198</v>
      </c>
      <c r="C28" s="682"/>
      <c r="D28" s="682"/>
      <c r="E28" s="682"/>
      <c r="F28" s="640"/>
      <c r="G28" s="640"/>
      <c r="H28" s="678"/>
      <c r="I28" s="673">
        <v>0</v>
      </c>
      <c r="J28" s="673">
        <v>0</v>
      </c>
      <c r="K28" s="673">
        <f t="shared" si="4"/>
        <v>0</v>
      </c>
      <c r="L28" s="256"/>
      <c r="M28" s="162">
        <v>0.3196</v>
      </c>
      <c r="N28" s="162"/>
      <c r="O28" s="162">
        <f>N28-M28</f>
        <v>-0.3196</v>
      </c>
      <c r="P28" s="199"/>
      <c r="Q28" s="427"/>
      <c r="R28" s="427"/>
      <c r="S28" s="427">
        <f t="shared" si="5"/>
        <v>0</v>
      </c>
      <c r="T28" s="80"/>
      <c r="U28" s="402"/>
      <c r="V28" s="402"/>
      <c r="W28" s="402">
        <f>V28-U28</f>
        <v>0</v>
      </c>
      <c r="X28" s="31"/>
      <c r="Y28" s="290">
        <v>0.22500000000000001</v>
      </c>
      <c r="Z28" s="290">
        <v>0</v>
      </c>
      <c r="AA28" s="290">
        <f>Z28-Y28</f>
        <v>-0.22500000000000001</v>
      </c>
      <c r="AB28" s="80"/>
      <c r="AC28" s="251">
        <v>0.4</v>
      </c>
      <c r="AD28" s="251">
        <v>10.14</v>
      </c>
      <c r="AE28" s="196">
        <f>AD28-AC28</f>
        <v>9.74</v>
      </c>
      <c r="AF28" s="80"/>
    </row>
    <row r="29" spans="1:32" ht="18" customHeight="1" x14ac:dyDescent="0.35">
      <c r="B29" s="677" t="s">
        <v>82</v>
      </c>
      <c r="C29" s="682"/>
      <c r="D29" s="682">
        <v>113.72799999999999</v>
      </c>
      <c r="E29" s="682"/>
      <c r="F29" s="640"/>
      <c r="G29" s="640">
        <v>111.925</v>
      </c>
      <c r="H29" s="678"/>
      <c r="I29" s="673">
        <v>0</v>
      </c>
      <c r="J29" s="673">
        <v>102.53400000000001</v>
      </c>
      <c r="K29" s="673">
        <f t="shared" si="4"/>
        <v>102.53400000000001</v>
      </c>
      <c r="L29" s="256"/>
      <c r="M29" s="177"/>
      <c r="N29" s="177">
        <v>91.601500000000001</v>
      </c>
      <c r="O29" s="177">
        <f>N29</f>
        <v>91.601500000000001</v>
      </c>
      <c r="P29" s="199"/>
      <c r="Q29" s="429"/>
      <c r="R29" s="429">
        <v>25.3</v>
      </c>
      <c r="S29" s="429">
        <f t="shared" si="5"/>
        <v>25.3</v>
      </c>
      <c r="T29" s="80"/>
      <c r="U29" s="241"/>
      <c r="V29" s="241">
        <v>88.017499999999998</v>
      </c>
      <c r="W29" s="241">
        <f>V29-U29</f>
        <v>88.017499999999998</v>
      </c>
      <c r="X29" s="31"/>
      <c r="Y29" s="292">
        <v>0</v>
      </c>
      <c r="Z29" s="292">
        <v>134.62248</v>
      </c>
      <c r="AA29" s="292">
        <f>Z29-Y29</f>
        <v>134.62248</v>
      </c>
      <c r="AB29" s="80"/>
      <c r="AC29" s="253">
        <v>0</v>
      </c>
      <c r="AD29" s="253">
        <v>127.441</v>
      </c>
      <c r="AE29" s="255">
        <f>AD29-AC29</f>
        <v>127.441</v>
      </c>
      <c r="AF29" s="80"/>
    </row>
    <row r="30" spans="1:32" ht="18" customHeight="1" x14ac:dyDescent="0.35">
      <c r="A30" s="866" t="s">
        <v>74</v>
      </c>
      <c r="B30" s="867"/>
      <c r="C30" s="685">
        <f>SUM(C28:C29)</f>
        <v>0</v>
      </c>
      <c r="D30" s="685">
        <f>SUM(D28:D29)</f>
        <v>113.72799999999999</v>
      </c>
      <c r="E30" s="683">
        <f t="shared" ref="E30" si="18">D30-C30</f>
        <v>113.72799999999999</v>
      </c>
      <c r="F30" s="192">
        <f>SUM(F28:F29)</f>
        <v>0</v>
      </c>
      <c r="G30" s="192">
        <f>SUM(G28:G29)</f>
        <v>111.925</v>
      </c>
      <c r="H30" s="679">
        <f t="shared" ref="H30" si="19">G30-F30</f>
        <v>111.925</v>
      </c>
      <c r="I30" s="676">
        <f>SUM(I28:I29)</f>
        <v>0</v>
      </c>
      <c r="J30" s="676">
        <f>SUM(J28:J29)</f>
        <v>102.53400000000001</v>
      </c>
      <c r="K30" s="674">
        <f t="shared" si="4"/>
        <v>102.53400000000001</v>
      </c>
      <c r="L30" s="534"/>
      <c r="M30" s="98">
        <f>SUM(M28:M29)</f>
        <v>0.3196</v>
      </c>
      <c r="N30" s="98">
        <f>SUM(N28:N29)</f>
        <v>91.601500000000001</v>
      </c>
      <c r="O30" s="98">
        <f>N30-M30</f>
        <v>91.281900000000007</v>
      </c>
      <c r="P30" s="42"/>
      <c r="Q30" s="377">
        <f>SUM(Q28:Q29)</f>
        <v>0</v>
      </c>
      <c r="R30" s="377">
        <f>SUM(R28:R29)</f>
        <v>25.3</v>
      </c>
      <c r="S30" s="431">
        <f t="shared" si="5"/>
        <v>25.3</v>
      </c>
      <c r="T30" s="83"/>
      <c r="U30" s="404">
        <f>SUM(U28:U29)</f>
        <v>0</v>
      </c>
      <c r="V30" s="200">
        <f>SUM(V28:V29)</f>
        <v>88.017499999999998</v>
      </c>
      <c r="W30" s="200">
        <f>V30-U30</f>
        <v>88.017499999999998</v>
      </c>
      <c r="X30" s="32"/>
      <c r="Y30" s="295">
        <f>SUM(Y28:Y29)</f>
        <v>0.22500000000000001</v>
      </c>
      <c r="Z30" s="295">
        <f>SUM(Z28:Z29)</f>
        <v>134.62248</v>
      </c>
      <c r="AA30" s="295">
        <f>Z30-Y30</f>
        <v>134.39748</v>
      </c>
      <c r="AB30" s="83"/>
      <c r="AC30" s="125">
        <f>SUM(AC28:AC29)</f>
        <v>0.4</v>
      </c>
      <c r="AD30" s="125">
        <f>SUM(AD28:AD29)</f>
        <v>137.58100000000002</v>
      </c>
      <c r="AE30" s="153">
        <f>AD30-AC30</f>
        <v>137.18100000000001</v>
      </c>
      <c r="AF30" s="83"/>
    </row>
    <row r="31" spans="1:32" ht="7.5" customHeight="1" x14ac:dyDescent="0.35">
      <c r="B31" s="150"/>
      <c r="C31" s="780"/>
      <c r="D31" s="780"/>
      <c r="E31" s="780"/>
      <c r="F31" s="585"/>
      <c r="G31" s="585"/>
      <c r="H31" s="100"/>
      <c r="I31" s="581"/>
      <c r="J31" s="581"/>
      <c r="K31" s="675" t="s">
        <v>93</v>
      </c>
      <c r="L31" s="529"/>
      <c r="M31" s="489"/>
      <c r="N31" s="490"/>
      <c r="O31" s="491"/>
      <c r="P31" s="199"/>
      <c r="Q31" s="433"/>
      <c r="R31" s="434"/>
      <c r="S31" s="432"/>
      <c r="T31" s="84"/>
      <c r="U31" s="860"/>
      <c r="V31" s="861"/>
      <c r="W31" s="862"/>
      <c r="X31" s="31"/>
      <c r="Y31" s="296"/>
      <c r="Z31" s="297"/>
      <c r="AA31" s="298"/>
      <c r="AB31" s="84"/>
      <c r="AC31" s="155"/>
      <c r="AD31" s="155"/>
      <c r="AE31" s="154"/>
      <c r="AF31" s="84"/>
    </row>
    <row r="32" spans="1:32" ht="18" customHeight="1" x14ac:dyDescent="0.35">
      <c r="B32" s="677" t="s">
        <v>116</v>
      </c>
      <c r="C32" s="682"/>
      <c r="D32" s="682">
        <v>63.128</v>
      </c>
      <c r="E32" s="682"/>
      <c r="F32" s="640"/>
      <c r="G32" s="640">
        <v>63.44</v>
      </c>
      <c r="H32" s="678"/>
      <c r="I32" s="673">
        <v>0</v>
      </c>
      <c r="J32" s="673">
        <v>64.355999999999995</v>
      </c>
      <c r="K32" s="673">
        <f t="shared" si="4"/>
        <v>64.355999999999995</v>
      </c>
      <c r="L32" s="256"/>
      <c r="M32" s="162"/>
      <c r="N32" s="162">
        <v>49.451500000000003</v>
      </c>
      <c r="O32" s="162">
        <f>N32</f>
        <v>49.451500000000003</v>
      </c>
      <c r="P32" s="199"/>
      <c r="Q32" s="427"/>
      <c r="R32" s="427">
        <v>7.2</v>
      </c>
      <c r="S32" s="427">
        <f t="shared" si="5"/>
        <v>7.2</v>
      </c>
      <c r="T32" s="80"/>
      <c r="U32" s="402"/>
      <c r="V32" s="402">
        <v>35.046500000000002</v>
      </c>
      <c r="W32" s="402">
        <f>V32-U32</f>
        <v>35.046500000000002</v>
      </c>
      <c r="X32" s="31"/>
      <c r="Y32" s="290">
        <v>0</v>
      </c>
      <c r="Z32" s="290">
        <v>66.34675</v>
      </c>
      <c r="AA32" s="290">
        <f>Z32-Y32</f>
        <v>66.34675</v>
      </c>
      <c r="AB32" s="80"/>
      <c r="AC32" s="251">
        <v>0</v>
      </c>
      <c r="AD32" s="251">
        <v>64</v>
      </c>
      <c r="AE32" s="196">
        <f>AD32-AC32</f>
        <v>64</v>
      </c>
      <c r="AF32" s="80"/>
    </row>
    <row r="33" spans="1:32" ht="18" customHeight="1" x14ac:dyDescent="0.35">
      <c r="B33" s="677" t="s">
        <v>117</v>
      </c>
      <c r="C33" s="682"/>
      <c r="D33" s="682">
        <v>2.1890000000000001</v>
      </c>
      <c r="E33" s="682"/>
      <c r="F33" s="640"/>
      <c r="G33" s="640">
        <v>1.694</v>
      </c>
      <c r="H33" s="678"/>
      <c r="I33" s="673">
        <v>0</v>
      </c>
      <c r="J33" s="673">
        <v>1.6259999999999999</v>
      </c>
      <c r="K33" s="673">
        <f t="shared" si="4"/>
        <v>1.6259999999999999</v>
      </c>
      <c r="L33" s="529"/>
      <c r="M33" s="177"/>
      <c r="N33" s="177">
        <v>1.2384999999999999</v>
      </c>
      <c r="O33" s="162">
        <f>N33</f>
        <v>1.2384999999999999</v>
      </c>
      <c r="P33" s="199"/>
      <c r="Q33" s="429"/>
      <c r="R33" s="429">
        <v>0.2</v>
      </c>
      <c r="S33" s="429"/>
      <c r="T33" s="17"/>
      <c r="U33" s="241"/>
      <c r="V33" s="241">
        <v>1.3859999999999999</v>
      </c>
      <c r="W33" s="402">
        <f>V33-U33</f>
        <v>1.3859999999999999</v>
      </c>
      <c r="X33" s="31"/>
      <c r="Y33" s="292">
        <v>0</v>
      </c>
      <c r="Z33" s="292">
        <v>2.4834999999999998</v>
      </c>
      <c r="AA33" s="292">
        <f>Z33-Y33</f>
        <v>2.4834999999999998</v>
      </c>
      <c r="AB33" s="17"/>
      <c r="AC33" s="253">
        <v>0</v>
      </c>
      <c r="AD33" s="253">
        <v>2.593</v>
      </c>
      <c r="AE33" s="255">
        <f>AD33-AC33</f>
        <v>2.593</v>
      </c>
      <c r="AF33" s="17"/>
    </row>
    <row r="34" spans="1:32" s="536" customFormat="1" ht="18" customHeight="1" x14ac:dyDescent="0.35">
      <c r="A34" s="866" t="s">
        <v>75</v>
      </c>
      <c r="B34" s="867"/>
      <c r="C34" s="685">
        <f>SUM(C32:C33)</f>
        <v>0</v>
      </c>
      <c r="D34" s="685">
        <f>SUM(D32:D33)</f>
        <v>65.317000000000007</v>
      </c>
      <c r="E34" s="683">
        <f t="shared" ref="E34" si="20">D34-C34</f>
        <v>65.317000000000007</v>
      </c>
      <c r="F34" s="192">
        <f>SUM(F32:F33)</f>
        <v>0</v>
      </c>
      <c r="G34" s="192">
        <f>SUM(G32:G33)</f>
        <v>65.134</v>
      </c>
      <c r="H34" s="679">
        <f t="shared" ref="H34" si="21">G34-F34</f>
        <v>65.134</v>
      </c>
      <c r="I34" s="676">
        <v>0</v>
      </c>
      <c r="J34" s="676">
        <f>SUM(J32:J33)</f>
        <v>65.981999999999999</v>
      </c>
      <c r="K34" s="674">
        <f t="shared" si="4"/>
        <v>65.981999999999999</v>
      </c>
      <c r="L34" s="534"/>
      <c r="M34" s="98">
        <f>SUM(M32)</f>
        <v>0</v>
      </c>
      <c r="N34" s="98">
        <f>SUM(N32:N33)</f>
        <v>50.690000000000005</v>
      </c>
      <c r="O34" s="98">
        <f>N34-M34</f>
        <v>50.690000000000005</v>
      </c>
      <c r="P34" s="42"/>
      <c r="Q34" s="377">
        <f>SUM(Q32:Q33)</f>
        <v>0</v>
      </c>
      <c r="R34" s="377">
        <f>SUM(R32:R33)</f>
        <v>7.4</v>
      </c>
      <c r="S34" s="431">
        <f t="shared" si="5"/>
        <v>7.4</v>
      </c>
      <c r="T34" s="83"/>
      <c r="U34" s="404">
        <v>0</v>
      </c>
      <c r="V34" s="200">
        <f>SUM(V32:V33)</f>
        <v>36.432500000000005</v>
      </c>
      <c r="W34" s="200">
        <f>SUM(W32:W33)</f>
        <v>36.432500000000005</v>
      </c>
      <c r="X34" s="32"/>
      <c r="Y34" s="295">
        <f>SUM(Y32)</f>
        <v>0</v>
      </c>
      <c r="Z34" s="295">
        <f>SUM(Z32:Z33)</f>
        <v>68.830250000000007</v>
      </c>
      <c r="AA34" s="295">
        <f>Z34-Y34</f>
        <v>68.830250000000007</v>
      </c>
      <c r="AB34" s="83"/>
      <c r="AC34" s="125">
        <f>SUM(AC32:AC33)</f>
        <v>0</v>
      </c>
      <c r="AD34" s="125">
        <f>SUM(AD32:AD33)</f>
        <v>66.593000000000004</v>
      </c>
      <c r="AE34" s="153">
        <f>AD34-AC34</f>
        <v>66.593000000000004</v>
      </c>
      <c r="AF34" s="83"/>
    </row>
    <row r="35" spans="1:32" ht="7.5" customHeight="1" x14ac:dyDescent="0.35">
      <c r="C35" s="780"/>
      <c r="D35" s="780"/>
      <c r="E35" s="780"/>
      <c r="F35" s="585"/>
      <c r="G35" s="585"/>
      <c r="H35" s="100"/>
      <c r="I35" s="581"/>
      <c r="J35" s="581"/>
      <c r="K35" s="675" t="s">
        <v>93</v>
      </c>
      <c r="L35" s="529"/>
      <c r="M35" s="111"/>
      <c r="N35" s="111"/>
      <c r="O35" s="111"/>
      <c r="P35" s="199"/>
      <c r="Q35" s="426"/>
      <c r="R35" s="426"/>
      <c r="S35" s="432"/>
      <c r="T35" s="17"/>
      <c r="U35" s="860"/>
      <c r="V35" s="861"/>
      <c r="W35" s="861"/>
      <c r="X35" s="31"/>
      <c r="Y35" s="289"/>
      <c r="Z35" s="289"/>
      <c r="AA35" s="289"/>
      <c r="AB35" s="17"/>
      <c r="AC35" s="149"/>
      <c r="AD35" s="149"/>
      <c r="AE35" s="154"/>
      <c r="AF35" s="17"/>
    </row>
    <row r="36" spans="1:32" ht="18" customHeight="1" x14ac:dyDescent="0.35">
      <c r="A36" s="13"/>
      <c r="B36" s="677" t="s">
        <v>122</v>
      </c>
      <c r="C36" s="682">
        <v>5.5960000000000001</v>
      </c>
      <c r="D36" s="682"/>
      <c r="E36" s="682">
        <f t="shared" ref="E36:E40" si="22">D36-C36</f>
        <v>-5.5960000000000001</v>
      </c>
      <c r="F36" s="640">
        <v>5.1929999999999996</v>
      </c>
      <c r="G36" s="640"/>
      <c r="H36" s="640">
        <f t="shared" ref="H36:H40" si="23">G36-F36</f>
        <v>-5.1929999999999996</v>
      </c>
      <c r="I36" s="673">
        <v>4.5449999999999999</v>
      </c>
      <c r="J36" s="673">
        <v>0</v>
      </c>
      <c r="K36" s="673">
        <f t="shared" si="4"/>
        <v>-4.5449999999999999</v>
      </c>
      <c r="L36" s="256"/>
      <c r="M36" s="162">
        <v>1.9432700000000001</v>
      </c>
      <c r="N36" s="162"/>
      <c r="O36" s="162">
        <f t="shared" ref="O36:O41" si="24">N36-M36</f>
        <v>-1.9432700000000001</v>
      </c>
      <c r="P36" s="199"/>
      <c r="Q36" s="427"/>
      <c r="R36" s="427"/>
      <c r="S36" s="427">
        <f t="shared" si="5"/>
        <v>0</v>
      </c>
      <c r="T36" s="80"/>
      <c r="U36" s="402"/>
      <c r="V36" s="402"/>
      <c r="W36" s="402">
        <f t="shared" ref="W36:W41" si="25">V36-U36</f>
        <v>0</v>
      </c>
      <c r="X36" s="31"/>
      <c r="Y36" s="290">
        <v>2.7638099999999999</v>
      </c>
      <c r="Z36" s="290">
        <v>0</v>
      </c>
      <c r="AA36" s="290">
        <f>Z36-Y36</f>
        <v>-2.7638099999999999</v>
      </c>
      <c r="AB36" s="80"/>
      <c r="AC36" s="251">
        <v>1.784</v>
      </c>
      <c r="AD36" s="251">
        <v>0</v>
      </c>
      <c r="AE36" s="196">
        <f>AD36-AC36</f>
        <v>-1.784</v>
      </c>
      <c r="AF36" s="80"/>
    </row>
    <row r="37" spans="1:32" ht="18" customHeight="1" x14ac:dyDescent="0.35">
      <c r="A37" s="13"/>
      <c r="B37" s="677" t="s">
        <v>162</v>
      </c>
      <c r="C37" s="682"/>
      <c r="D37" s="682"/>
      <c r="E37" s="682">
        <f t="shared" si="22"/>
        <v>0</v>
      </c>
      <c r="F37" s="640"/>
      <c r="G37" s="640"/>
      <c r="H37" s="640">
        <f t="shared" si="23"/>
        <v>0</v>
      </c>
      <c r="I37" s="673">
        <v>7.3044000000000002</v>
      </c>
      <c r="J37" s="673">
        <v>0</v>
      </c>
      <c r="K37" s="673">
        <f t="shared" si="4"/>
        <v>-7.3044000000000002</v>
      </c>
      <c r="L37" s="256"/>
      <c r="M37" s="168">
        <v>0.34599999999999997</v>
      </c>
      <c r="N37" s="168"/>
      <c r="O37" s="168">
        <f t="shared" si="24"/>
        <v>-0.34599999999999997</v>
      </c>
      <c r="P37" s="199"/>
      <c r="Q37" s="428"/>
      <c r="R37" s="428"/>
      <c r="S37" s="428">
        <f t="shared" si="5"/>
        <v>0</v>
      </c>
      <c r="T37" s="80"/>
      <c r="U37" s="403"/>
      <c r="V37" s="403"/>
      <c r="W37" s="403">
        <f t="shared" si="25"/>
        <v>0</v>
      </c>
      <c r="X37" s="31"/>
      <c r="Y37" s="291">
        <v>1.3706</v>
      </c>
      <c r="Z37" s="291">
        <v>0</v>
      </c>
      <c r="AA37" s="291">
        <f>Z37-Y37</f>
        <v>-1.3706</v>
      </c>
      <c r="AB37" s="256"/>
      <c r="AC37" s="252">
        <v>1.58</v>
      </c>
      <c r="AD37" s="252">
        <v>0</v>
      </c>
      <c r="AE37" s="254">
        <f>AD37-AC37</f>
        <v>-1.58</v>
      </c>
      <c r="AF37" s="80"/>
    </row>
    <row r="38" spans="1:32" ht="18" customHeight="1" x14ac:dyDescent="0.35">
      <c r="A38" s="13"/>
      <c r="B38" s="677" t="s">
        <v>147</v>
      </c>
      <c r="C38" s="682">
        <v>0.51900000000000002</v>
      </c>
      <c r="D38" s="682"/>
      <c r="E38" s="682">
        <f t="shared" si="22"/>
        <v>-0.51900000000000002</v>
      </c>
      <c r="F38" s="640">
        <v>0.48499999999999999</v>
      </c>
      <c r="G38" s="640"/>
      <c r="H38" s="640">
        <f t="shared" si="23"/>
        <v>-0.48499999999999999</v>
      </c>
      <c r="I38" s="673">
        <f>0.275+0.664</f>
        <v>0.93900000000000006</v>
      </c>
      <c r="J38" s="673">
        <v>0</v>
      </c>
      <c r="K38" s="673">
        <f t="shared" si="4"/>
        <v>-0.93900000000000006</v>
      </c>
      <c r="L38" s="256"/>
      <c r="M38" s="168">
        <v>0.105</v>
      </c>
      <c r="N38" s="168"/>
      <c r="O38" s="168">
        <f t="shared" si="24"/>
        <v>-0.105</v>
      </c>
      <c r="P38" s="199"/>
      <c r="Q38" s="428">
        <v>0.4</v>
      </c>
      <c r="R38" s="428"/>
      <c r="S38" s="428">
        <f t="shared" si="5"/>
        <v>-0.4</v>
      </c>
      <c r="T38" s="80"/>
      <c r="U38" s="403">
        <v>0.75990000000000002</v>
      </c>
      <c r="V38" s="403"/>
      <c r="W38" s="403">
        <f t="shared" si="25"/>
        <v>-0.75990000000000002</v>
      </c>
      <c r="X38" s="31"/>
      <c r="Y38" s="291">
        <v>0.77470000000000006</v>
      </c>
      <c r="Z38" s="291">
        <v>0</v>
      </c>
      <c r="AA38" s="291">
        <f>Z38-Y38</f>
        <v>-0.77470000000000006</v>
      </c>
      <c r="AB38" s="80"/>
      <c r="AC38" s="252">
        <v>0.7</v>
      </c>
      <c r="AD38" s="252">
        <v>0</v>
      </c>
      <c r="AE38" s="254">
        <f>AD38-AC38</f>
        <v>-0.7</v>
      </c>
      <c r="AF38" s="80"/>
    </row>
    <row r="39" spans="1:32" ht="18" customHeight="1" x14ac:dyDescent="0.35">
      <c r="B39" s="677" t="s">
        <v>148</v>
      </c>
      <c r="C39" s="682">
        <v>3.6299999999999999E-2</v>
      </c>
      <c r="D39" s="682">
        <v>4.718</v>
      </c>
      <c r="E39" s="682">
        <f t="shared" si="22"/>
        <v>4.6817000000000002</v>
      </c>
      <c r="F39" s="640">
        <v>4.6100000000000002E-2</v>
      </c>
      <c r="G39" s="640">
        <v>5.8620000000000001</v>
      </c>
      <c r="H39" s="640">
        <f t="shared" si="23"/>
        <v>5.8159000000000001</v>
      </c>
      <c r="I39" s="673">
        <v>9.5000000000000001E-2</v>
      </c>
      <c r="J39" s="673">
        <v>8.0540000000000003</v>
      </c>
      <c r="K39" s="673">
        <f t="shared" si="4"/>
        <v>7.9590000000000005</v>
      </c>
      <c r="L39" s="530"/>
      <c r="M39" s="168">
        <v>3.96712</v>
      </c>
      <c r="N39" s="168">
        <v>13.532999999999999</v>
      </c>
      <c r="O39" s="168">
        <f t="shared" si="24"/>
        <v>9.5658799999999999</v>
      </c>
      <c r="P39" s="199"/>
      <c r="Q39" s="428">
        <v>5.8</v>
      </c>
      <c r="R39" s="428">
        <v>34.4</v>
      </c>
      <c r="S39" s="428">
        <f t="shared" si="5"/>
        <v>28.599999999999998</v>
      </c>
      <c r="T39" s="80"/>
      <c r="U39" s="403">
        <v>6.6554000000000002</v>
      </c>
      <c r="V39" s="403">
        <v>4.7269399999999999</v>
      </c>
      <c r="W39" s="403">
        <f t="shared" si="25"/>
        <v>-1.9284600000000003</v>
      </c>
      <c r="X39" s="31"/>
      <c r="Y39" s="291"/>
      <c r="Z39" s="291"/>
      <c r="AA39" s="291"/>
      <c r="AB39" s="80"/>
      <c r="AC39" s="252"/>
      <c r="AD39" s="252"/>
      <c r="AE39" s="254"/>
      <c r="AF39" s="80"/>
    </row>
    <row r="40" spans="1:32" ht="18" customHeight="1" x14ac:dyDescent="0.35">
      <c r="B40" s="677" t="s">
        <v>108</v>
      </c>
      <c r="C40" s="682">
        <v>1.7</v>
      </c>
      <c r="D40" s="682"/>
      <c r="E40" s="682">
        <f t="shared" si="22"/>
        <v>-1.7</v>
      </c>
      <c r="F40" s="640">
        <v>1.5</v>
      </c>
      <c r="G40" s="640"/>
      <c r="H40" s="640">
        <f t="shared" si="23"/>
        <v>-1.5</v>
      </c>
      <c r="I40" s="673">
        <v>1.6</v>
      </c>
      <c r="J40" s="673">
        <v>0</v>
      </c>
      <c r="K40" s="673">
        <f t="shared" si="4"/>
        <v>-1.6</v>
      </c>
      <c r="L40" s="530"/>
      <c r="M40" s="177"/>
      <c r="N40" s="177"/>
      <c r="O40" s="177">
        <f t="shared" si="24"/>
        <v>0</v>
      </c>
      <c r="P40" s="199"/>
      <c r="Q40" s="429"/>
      <c r="R40" s="429"/>
      <c r="S40" s="429">
        <f t="shared" si="5"/>
        <v>0</v>
      </c>
      <c r="T40" s="80"/>
      <c r="U40" s="241">
        <v>1.5</v>
      </c>
      <c r="V40" s="241"/>
      <c r="W40" s="241">
        <f t="shared" si="25"/>
        <v>-1.5</v>
      </c>
      <c r="X40" s="31"/>
      <c r="Y40" s="292">
        <v>1.6</v>
      </c>
      <c r="Z40" s="292">
        <v>0</v>
      </c>
      <c r="AA40" s="292">
        <f>Z40-Y40</f>
        <v>-1.6</v>
      </c>
      <c r="AB40" s="79"/>
      <c r="AC40" s="253">
        <v>1.6</v>
      </c>
      <c r="AD40" s="253">
        <v>0</v>
      </c>
      <c r="AE40" s="255">
        <f>AD40-AC40</f>
        <v>-1.6</v>
      </c>
      <c r="AF40" s="79"/>
    </row>
    <row r="41" spans="1:32" ht="18" customHeight="1" x14ac:dyDescent="0.35">
      <c r="A41" s="866" t="s">
        <v>32</v>
      </c>
      <c r="B41" s="868"/>
      <c r="C41" s="685">
        <f>SUM(C36:C40)</f>
        <v>7.8513000000000002</v>
      </c>
      <c r="D41" s="685">
        <f>SUM(D36:D40)</f>
        <v>4.718</v>
      </c>
      <c r="E41" s="683">
        <f t="shared" ref="E41" si="26">D41-C41</f>
        <v>-3.1333000000000002</v>
      </c>
      <c r="F41" s="192">
        <f>SUM(F36:F40)</f>
        <v>7.2241</v>
      </c>
      <c r="G41" s="192">
        <f>SUM(G36:G40)</f>
        <v>5.8620000000000001</v>
      </c>
      <c r="H41" s="679">
        <f t="shared" ref="H41" si="27">G41-F41</f>
        <v>-1.3620999999999999</v>
      </c>
      <c r="I41" s="676">
        <f>SUM(I36:I40)</f>
        <v>14.4834</v>
      </c>
      <c r="J41" s="676">
        <f>SUM(J36:J40)</f>
        <v>8.0540000000000003</v>
      </c>
      <c r="K41" s="674">
        <f t="shared" si="4"/>
        <v>-6.4293999999999993</v>
      </c>
      <c r="L41" s="534"/>
      <c r="M41" s="98">
        <f>SUM(M36:M40)</f>
        <v>6.3613900000000001</v>
      </c>
      <c r="N41" s="98">
        <f>SUM(N36:N40)</f>
        <v>13.532999999999999</v>
      </c>
      <c r="O41" s="98">
        <f t="shared" si="24"/>
        <v>7.1716099999999994</v>
      </c>
      <c r="P41" s="42"/>
      <c r="Q41" s="377">
        <f>SUM(Q36:Q40)</f>
        <v>6.2</v>
      </c>
      <c r="R41" s="377">
        <f>SUM(R36:R40)</f>
        <v>34.4</v>
      </c>
      <c r="S41" s="431">
        <f t="shared" si="5"/>
        <v>28.2</v>
      </c>
      <c r="T41" s="83"/>
      <c r="U41" s="405">
        <f>SUM(U36:U40)</f>
        <v>8.9153000000000002</v>
      </c>
      <c r="V41" s="406">
        <f>SUM(V36:V40)</f>
        <v>4.7269399999999999</v>
      </c>
      <c r="W41" s="200">
        <f t="shared" si="25"/>
        <v>-4.1883600000000003</v>
      </c>
      <c r="X41" s="32"/>
      <c r="Y41" s="295">
        <f>SUM(Y36:Y40)</f>
        <v>6.5091099999999997</v>
      </c>
      <c r="Z41" s="295">
        <f>SUM(Z36:Z40)</f>
        <v>0</v>
      </c>
      <c r="AA41" s="299">
        <f>Z41-Y41</f>
        <v>-6.5091099999999997</v>
      </c>
      <c r="AB41" s="83"/>
      <c r="AC41" s="125">
        <f>SUM(AC36:AC40)</f>
        <v>5.6639999999999997</v>
      </c>
      <c r="AD41" s="125">
        <f>SUM(AD36:AD40)</f>
        <v>0</v>
      </c>
      <c r="AE41" s="153">
        <f>AD41-AC41</f>
        <v>-5.6639999999999997</v>
      </c>
      <c r="AF41" s="83"/>
    </row>
    <row r="42" spans="1:32" ht="14.25" customHeight="1" x14ac:dyDescent="0.35">
      <c r="C42" s="684"/>
      <c r="D42" s="684"/>
      <c r="E42" s="684"/>
      <c r="F42" s="100"/>
      <c r="G42" s="100"/>
      <c r="H42" s="100"/>
      <c r="I42" s="581"/>
      <c r="J42" s="581"/>
      <c r="K42" s="629" t="s">
        <v>93</v>
      </c>
      <c r="L42" s="529"/>
      <c r="M42" s="111"/>
      <c r="N42" s="111"/>
      <c r="O42" s="113"/>
      <c r="P42" s="199"/>
      <c r="Q42" s="426"/>
      <c r="R42" s="426"/>
      <c r="S42" s="432"/>
      <c r="T42" s="17"/>
      <c r="U42" s="860"/>
      <c r="V42" s="861"/>
      <c r="W42" s="861"/>
      <c r="X42" s="31"/>
      <c r="Y42" s="289"/>
      <c r="Z42" s="289"/>
      <c r="AA42" s="289"/>
      <c r="AB42" s="17"/>
      <c r="AC42" s="149"/>
      <c r="AD42" s="155"/>
      <c r="AE42" s="154"/>
      <c r="AF42" s="17"/>
    </row>
    <row r="43" spans="1:32" ht="18" customHeight="1" thickBot="1" x14ac:dyDescent="0.4">
      <c r="A43" s="864" t="s">
        <v>96</v>
      </c>
      <c r="B43" s="865"/>
      <c r="C43" s="686">
        <f>SUM(C41,C34,C30,C26,C19,C10)</f>
        <v>476.44730000000004</v>
      </c>
      <c r="D43" s="686">
        <f>SUM(D41,D34,D30,D26,D19,D10)</f>
        <v>731.02300000000002</v>
      </c>
      <c r="E43" s="687">
        <f t="shared" ref="E43" si="28">D43-C43</f>
        <v>254.57569999999998</v>
      </c>
      <c r="F43" s="680">
        <f>SUM(F41,F34,F30,F26,F19,F10)</f>
        <v>486.29110000000003</v>
      </c>
      <c r="G43" s="680">
        <f>SUM(G41,G34,G30,G26,G19,G10)</f>
        <v>741.28800000000001</v>
      </c>
      <c r="H43" s="681">
        <f t="shared" ref="H43" si="29">G43-F43</f>
        <v>254.99689999999998</v>
      </c>
      <c r="I43" s="537">
        <f>SUM(I41,I34,I30,I26,I19,I10)</f>
        <v>415.42692999999997</v>
      </c>
      <c r="J43" s="537">
        <f>SUM(J41,J34,J30,J26,J19,J10)</f>
        <v>655.90700000000004</v>
      </c>
      <c r="K43" s="630">
        <f t="shared" si="4"/>
        <v>240.48007000000007</v>
      </c>
      <c r="L43" s="535"/>
      <c r="M43" s="492">
        <f>M10+M19+M26+M30+M34+M41</f>
        <v>311.38941999999997</v>
      </c>
      <c r="N43" s="492">
        <f>N10+N19+N26+N30+N34+N41</f>
        <v>525.13124999999991</v>
      </c>
      <c r="O43" s="508">
        <f t="shared" ref="O43" si="30">N43-M43</f>
        <v>213.74182999999994</v>
      </c>
      <c r="P43" s="380"/>
      <c r="Q43" s="435">
        <f>Q10+Q19+Q26+Q30+Q34+Q41</f>
        <v>94.800000000000011</v>
      </c>
      <c r="R43" s="436">
        <f>R10+R19+R26+R30+R34+R41</f>
        <v>157.4</v>
      </c>
      <c r="S43" s="437">
        <f t="shared" si="5"/>
        <v>62.599999999999994</v>
      </c>
      <c r="T43" s="85"/>
      <c r="U43" s="407">
        <f>U10+U19+U26+U30+U34+U41</f>
        <v>247.70826</v>
      </c>
      <c r="V43" s="408">
        <f>V10+V19+V26+V30+V34+V41</f>
        <v>422.88069000000002</v>
      </c>
      <c r="W43" s="408">
        <f>V43-U43</f>
        <v>175.17243000000002</v>
      </c>
      <c r="X43" s="379"/>
      <c r="Y43" s="381">
        <f>Y10+Y19+Y26+Y30+Y34+Y41</f>
        <v>694.57272999999998</v>
      </c>
      <c r="Z43" s="381">
        <f>Z10+Z19+Z26+Z30+Z34+Z41</f>
        <v>895.81728999999996</v>
      </c>
      <c r="AA43" s="381">
        <f>AA10+AA19+AA26+AA30+AA34+AA41</f>
        <v>201.24455999999995</v>
      </c>
      <c r="AB43" s="85"/>
      <c r="AC43" s="157">
        <f>AC10+AC19+AC26+AC30+AC34+AC41</f>
        <v>499.50999999999993</v>
      </c>
      <c r="AD43" s="158">
        <f>AD10+AD19+AD26+AD30+AD34+AD41</f>
        <v>774.78</v>
      </c>
      <c r="AE43" s="159">
        <f>AD43-AC43</f>
        <v>275.27000000000004</v>
      </c>
      <c r="AF43" s="85"/>
    </row>
    <row r="44" spans="1:32" x14ac:dyDescent="0.35">
      <c r="Y44" s="9"/>
      <c r="Z44" s="9"/>
      <c r="AA44" s="9"/>
    </row>
  </sheetData>
  <mergeCells count="22">
    <mergeCell ref="A1:B1"/>
    <mergeCell ref="Q3:S3"/>
    <mergeCell ref="M3:O3"/>
    <mergeCell ref="U3:W3"/>
    <mergeCell ref="AC3:AE3"/>
    <mergeCell ref="Y3:AA3"/>
    <mergeCell ref="I3:K3"/>
    <mergeCell ref="F3:H3"/>
    <mergeCell ref="C3:E3"/>
    <mergeCell ref="A10:B10"/>
    <mergeCell ref="A19:B19"/>
    <mergeCell ref="A43:B43"/>
    <mergeCell ref="A30:B30"/>
    <mergeCell ref="A34:B34"/>
    <mergeCell ref="A41:B41"/>
    <mergeCell ref="A26:B26"/>
    <mergeCell ref="U42:W42"/>
    <mergeCell ref="U11:W11"/>
    <mergeCell ref="U20:W20"/>
    <mergeCell ref="U27:W27"/>
    <mergeCell ref="U31:W31"/>
    <mergeCell ref="U35:W35"/>
  </mergeCells>
  <phoneticPr fontId="6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9" orientation="landscape" horizontalDpi="300" verticalDpi="300" r:id="rId1"/>
  <headerFooter>
    <oddFooter>&amp;L_x000D_&amp;1#&amp;"Aptos"&amp;10&amp;K000000 Data sensitivity - Internal&amp;RPage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30"/>
  <sheetViews>
    <sheetView topLeftCell="M3" zoomScaleNormal="100" workbookViewId="0">
      <selection activeCell="P7" sqref="P7"/>
    </sheetView>
  </sheetViews>
  <sheetFormatPr baseColWidth="10" defaultRowHeight="14.5" x14ac:dyDescent="0.35"/>
  <cols>
    <col min="1" max="1" width="4.54296875" customWidth="1"/>
    <col min="2" max="2" width="4.36328125" customWidth="1"/>
    <col min="3" max="3" width="30.6328125" customWidth="1"/>
    <col min="4" max="5" width="9.81640625" customWidth="1"/>
    <col min="6" max="6" width="11.90625" style="526" customWidth="1"/>
    <col min="7" max="7" width="9.90625" style="349" customWidth="1"/>
    <col min="8" max="8" width="9.90625" customWidth="1"/>
    <col min="9" max="9" width="9.90625" style="398" customWidth="1"/>
    <col min="10" max="10" width="9.90625" customWidth="1"/>
    <col min="11" max="11" width="9.90625" style="243" customWidth="1"/>
    <col min="12" max="12" width="3.54296875" style="60" customWidth="1"/>
    <col min="13" max="13" width="32.54296875" style="60" customWidth="1"/>
    <col min="14" max="15" width="9" style="60" customWidth="1"/>
    <col min="16" max="16" width="11.36328125" style="541" customWidth="1"/>
    <col min="17" max="17" width="10" style="376" customWidth="1"/>
    <col min="18" max="18" width="10" style="60" customWidth="1"/>
    <col min="19" max="19" width="10" style="129" customWidth="1"/>
    <col min="20" max="20" width="10" style="60" customWidth="1"/>
    <col min="21" max="21" width="10" style="243" customWidth="1"/>
    <col min="22" max="22" width="1.453125" customWidth="1"/>
  </cols>
  <sheetData>
    <row r="2" spans="1:23" ht="21" customHeight="1" thickBot="1" x14ac:dyDescent="0.4">
      <c r="A2" s="1"/>
      <c r="B2" s="885" t="s">
        <v>151</v>
      </c>
      <c r="C2" s="885"/>
      <c r="D2" s="267"/>
      <c r="E2" s="267"/>
      <c r="F2" s="542"/>
      <c r="G2" s="370"/>
      <c r="H2" s="267"/>
      <c r="I2" s="389"/>
      <c r="J2" s="267"/>
      <c r="K2" s="245"/>
      <c r="L2" s="76"/>
      <c r="M2" s="76"/>
      <c r="N2" s="76"/>
      <c r="O2" s="76"/>
      <c r="P2" s="538"/>
      <c r="Q2" s="364"/>
      <c r="R2" s="76"/>
      <c r="S2" s="386"/>
      <c r="T2" s="76"/>
      <c r="U2" s="245"/>
    </row>
    <row r="3" spans="1:23" ht="15" customHeight="1" thickTop="1" x14ac:dyDescent="0.35">
      <c r="A3" s="20"/>
      <c r="B3" s="45"/>
      <c r="C3" s="46"/>
      <c r="D3" s="46"/>
      <c r="E3" s="46"/>
      <c r="F3" s="543"/>
      <c r="G3" s="371"/>
      <c r="H3" s="46"/>
      <c r="I3" s="390"/>
      <c r="J3" s="46"/>
      <c r="K3" s="246"/>
      <c r="L3" s="75"/>
      <c r="M3" s="75"/>
      <c r="N3" s="87"/>
      <c r="O3" s="87"/>
      <c r="P3" s="539"/>
      <c r="Q3" s="375"/>
      <c r="R3" s="87"/>
      <c r="S3" s="387"/>
      <c r="T3" s="87"/>
      <c r="U3" s="246"/>
      <c r="V3" s="36"/>
      <c r="W3" s="36"/>
    </row>
    <row r="4" spans="1:23" ht="18" customHeight="1" x14ac:dyDescent="0.35">
      <c r="A4" s="20"/>
      <c r="B4" s="47"/>
      <c r="C4" s="852" t="s">
        <v>0</v>
      </c>
      <c r="D4" s="654" t="s">
        <v>17</v>
      </c>
      <c r="E4" s="652" t="s">
        <v>17</v>
      </c>
      <c r="F4" s="520" t="s">
        <v>17</v>
      </c>
      <c r="G4" s="130" t="s">
        <v>17</v>
      </c>
      <c r="H4" s="416" t="s">
        <v>17</v>
      </c>
      <c r="I4" s="382" t="s">
        <v>17</v>
      </c>
      <c r="J4" s="286" t="s">
        <v>17</v>
      </c>
      <c r="K4" s="270" t="s">
        <v>17</v>
      </c>
      <c r="L4" s="546"/>
      <c r="M4" s="843" t="s">
        <v>1</v>
      </c>
      <c r="N4" s="654" t="s">
        <v>17</v>
      </c>
      <c r="O4" s="652" t="s">
        <v>17</v>
      </c>
      <c r="P4" s="540" t="s">
        <v>17</v>
      </c>
      <c r="Q4" s="130" t="s">
        <v>17</v>
      </c>
      <c r="R4" s="416" t="s">
        <v>17</v>
      </c>
      <c r="S4" s="382" t="s">
        <v>17</v>
      </c>
      <c r="T4" s="286" t="s">
        <v>17</v>
      </c>
      <c r="U4" s="270" t="s">
        <v>17</v>
      </c>
      <c r="V4" s="37"/>
      <c r="W4" s="37"/>
    </row>
    <row r="5" spans="1:23" s="2" customFormat="1" ht="18" customHeight="1" x14ac:dyDescent="0.35">
      <c r="A5" s="48"/>
      <c r="B5" s="3"/>
      <c r="C5" s="844"/>
      <c r="D5" s="655" t="s">
        <v>186</v>
      </c>
      <c r="E5" s="653" t="s">
        <v>187</v>
      </c>
      <c r="F5" s="521" t="s">
        <v>165</v>
      </c>
      <c r="G5" s="463" t="s">
        <v>159</v>
      </c>
      <c r="H5" s="417" t="s">
        <v>152</v>
      </c>
      <c r="I5" s="383" t="s">
        <v>144</v>
      </c>
      <c r="J5" s="287" t="s">
        <v>136</v>
      </c>
      <c r="K5" s="271" t="s">
        <v>118</v>
      </c>
      <c r="L5" s="63"/>
      <c r="M5" s="844"/>
      <c r="N5" s="655" t="s">
        <v>186</v>
      </c>
      <c r="O5" s="653" t="s">
        <v>187</v>
      </c>
      <c r="P5" s="540" t="s">
        <v>165</v>
      </c>
      <c r="Q5" s="463" t="s">
        <v>159</v>
      </c>
      <c r="R5" s="417" t="s">
        <v>152</v>
      </c>
      <c r="S5" s="383" t="s">
        <v>144</v>
      </c>
      <c r="T5" s="287" t="s">
        <v>136</v>
      </c>
      <c r="U5" s="271" t="s">
        <v>118</v>
      </c>
      <c r="V5" s="35"/>
      <c r="W5" s="35"/>
    </row>
    <row r="6" spans="1:23" ht="9" customHeight="1" x14ac:dyDescent="0.35">
      <c r="A6" s="20"/>
      <c r="B6" s="49"/>
      <c r="C6" s="49"/>
      <c r="D6" s="49"/>
      <c r="E6" s="49"/>
      <c r="F6" s="522"/>
      <c r="G6" s="494"/>
      <c r="H6" s="372"/>
      <c r="I6" s="391"/>
      <c r="J6" s="320"/>
      <c r="K6" s="272"/>
      <c r="L6" s="51"/>
      <c r="M6" s="24"/>
      <c r="N6" s="24"/>
      <c r="O6" s="24"/>
      <c r="P6" s="519"/>
      <c r="Q6" s="111"/>
      <c r="R6" s="342"/>
      <c r="S6" s="116"/>
      <c r="T6" s="24"/>
      <c r="U6" s="106"/>
      <c r="V6" s="37"/>
      <c r="W6" s="37"/>
    </row>
    <row r="7" spans="1:23" ht="18" customHeight="1" x14ac:dyDescent="0.35">
      <c r="A7" s="50"/>
      <c r="B7" s="49"/>
      <c r="C7" s="228" t="s">
        <v>124</v>
      </c>
      <c r="D7" s="793"/>
      <c r="E7" s="794"/>
      <c r="F7" s="566"/>
      <c r="G7" s="468"/>
      <c r="H7" s="418"/>
      <c r="I7" s="392">
        <v>1.4683999999999999</v>
      </c>
      <c r="J7" s="335">
        <v>4.2891300000000001</v>
      </c>
      <c r="K7" s="273">
        <v>2.5310000000000001</v>
      </c>
      <c r="L7" s="51"/>
      <c r="M7" s="197" t="s">
        <v>131</v>
      </c>
      <c r="N7" s="197">
        <v>7.9029999999999996</v>
      </c>
      <c r="O7" s="197">
        <v>47.274000000000001</v>
      </c>
      <c r="P7" s="644">
        <v>54.336530000000003</v>
      </c>
      <c r="Q7" s="210">
        <v>54.484859999999998</v>
      </c>
      <c r="R7" s="343">
        <v>57.1</v>
      </c>
      <c r="S7" s="209">
        <v>77.235519999999994</v>
      </c>
      <c r="T7" s="314">
        <v>87.24136</v>
      </c>
      <c r="U7" s="107">
        <v>53.73</v>
      </c>
      <c r="V7" s="37"/>
      <c r="W7" s="37"/>
    </row>
    <row r="8" spans="1:23" ht="18" customHeight="1" x14ac:dyDescent="0.35">
      <c r="A8" s="50"/>
      <c r="B8" s="49"/>
      <c r="C8" s="323" t="s">
        <v>139</v>
      </c>
      <c r="D8" s="792"/>
      <c r="E8" s="791"/>
      <c r="F8" s="544"/>
      <c r="G8" s="495"/>
      <c r="H8" s="419"/>
      <c r="I8" s="393"/>
      <c r="J8" s="337">
        <v>2.0592000000000001</v>
      </c>
      <c r="K8" s="322"/>
      <c r="L8" s="51"/>
      <c r="M8" s="645" t="s">
        <v>140</v>
      </c>
      <c r="N8" s="645">
        <v>0.51100000000000001</v>
      </c>
      <c r="O8" s="645"/>
      <c r="P8" s="646">
        <v>0</v>
      </c>
      <c r="Q8" s="210"/>
      <c r="R8" s="343">
        <v>0.6</v>
      </c>
      <c r="S8" s="209">
        <v>2.8643200000000002</v>
      </c>
      <c r="T8" s="314">
        <v>16.595687999999999</v>
      </c>
      <c r="U8" s="107"/>
      <c r="V8" s="37"/>
      <c r="W8" s="37"/>
    </row>
    <row r="9" spans="1:23" ht="18" customHeight="1" x14ac:dyDescent="0.35">
      <c r="A9" s="50"/>
      <c r="B9" s="49"/>
      <c r="C9" s="259" t="s">
        <v>125</v>
      </c>
      <c r="D9" s="795"/>
      <c r="E9" s="796"/>
      <c r="F9" s="567"/>
      <c r="G9" s="469"/>
      <c r="H9" s="420"/>
      <c r="I9" s="394"/>
      <c r="J9" s="307"/>
      <c r="K9" s="237">
        <v>0.75600000000000001</v>
      </c>
      <c r="L9" s="51"/>
      <c r="M9" s="197" t="s">
        <v>149</v>
      </c>
      <c r="N9" s="197"/>
      <c r="O9" s="197">
        <v>0</v>
      </c>
      <c r="P9" s="644">
        <v>1.3049999999999999</v>
      </c>
      <c r="Q9" s="210">
        <v>0.68500000000000005</v>
      </c>
      <c r="R9" s="343"/>
      <c r="S9" s="209">
        <v>0.54166999999999998</v>
      </c>
      <c r="T9" s="25"/>
      <c r="U9" s="107"/>
      <c r="V9" s="37"/>
      <c r="W9" s="37"/>
    </row>
    <row r="10" spans="1:23" ht="18" customHeight="1" x14ac:dyDescent="0.35">
      <c r="A10" s="50"/>
      <c r="B10" s="49"/>
      <c r="C10" s="260" t="s">
        <v>129</v>
      </c>
      <c r="D10" s="797">
        <v>3.3000000000000002E-2</v>
      </c>
      <c r="E10" s="798">
        <v>0</v>
      </c>
      <c r="F10" s="568"/>
      <c r="G10" s="470"/>
      <c r="H10" s="421">
        <v>0.1</v>
      </c>
      <c r="I10" s="395">
        <v>0.37859999999999999</v>
      </c>
      <c r="J10" s="308">
        <v>0.40832000000000002</v>
      </c>
      <c r="K10" s="274">
        <v>6.7000000000000004E-2</v>
      </c>
      <c r="L10" s="51"/>
      <c r="Q10" s="493"/>
      <c r="R10" s="376"/>
      <c r="V10" s="37"/>
      <c r="W10" s="37"/>
    </row>
    <row r="11" spans="1:23" ht="18" customHeight="1" x14ac:dyDescent="0.35">
      <c r="A11" s="50"/>
      <c r="B11" s="850" t="s">
        <v>54</v>
      </c>
      <c r="C11" s="851"/>
      <c r="D11" s="668">
        <f t="shared" ref="D11:K11" si="0">SUM(D7:D10)</f>
        <v>3.3000000000000002E-2</v>
      </c>
      <c r="E11" s="667">
        <f t="shared" si="0"/>
        <v>0</v>
      </c>
      <c r="F11" s="545">
        <f t="shared" si="0"/>
        <v>0</v>
      </c>
      <c r="G11" s="471">
        <f t="shared" si="0"/>
        <v>0</v>
      </c>
      <c r="H11" s="361">
        <f t="shared" si="0"/>
        <v>0.1</v>
      </c>
      <c r="I11" s="361">
        <f t="shared" si="0"/>
        <v>1.847</v>
      </c>
      <c r="J11" s="309">
        <f t="shared" si="0"/>
        <v>6.7566500000000005</v>
      </c>
      <c r="K11" s="275">
        <f t="shared" si="0"/>
        <v>3.3540000000000001</v>
      </c>
      <c r="L11" s="51"/>
      <c r="M11" s="24"/>
      <c r="N11" s="24"/>
      <c r="O11" s="24"/>
      <c r="P11" s="519"/>
      <c r="Q11" s="111"/>
      <c r="R11" s="342"/>
      <c r="S11" s="116"/>
      <c r="T11" s="289"/>
      <c r="U11" s="106"/>
      <c r="V11" s="37"/>
      <c r="W11" s="37"/>
    </row>
    <row r="12" spans="1:23" ht="18" customHeight="1" x14ac:dyDescent="0.35">
      <c r="A12" s="50"/>
      <c r="B12" s="49"/>
      <c r="C12" s="262"/>
      <c r="D12" s="799"/>
      <c r="E12" s="800"/>
      <c r="F12" s="564"/>
      <c r="G12" s="467"/>
      <c r="H12" s="372"/>
      <c r="I12" s="391"/>
      <c r="J12" s="310"/>
      <c r="K12" s="272"/>
      <c r="L12" s="51"/>
      <c r="M12" s="24"/>
      <c r="N12" s="24"/>
      <c r="O12" s="24"/>
      <c r="P12" s="519"/>
      <c r="Q12" s="111"/>
      <c r="R12" s="342"/>
      <c r="S12" s="116"/>
      <c r="T12" s="289"/>
      <c r="U12" s="106"/>
      <c r="V12" s="37"/>
      <c r="W12" s="37"/>
    </row>
    <row r="13" spans="1:23" ht="18" customHeight="1" x14ac:dyDescent="0.35">
      <c r="A13" s="50"/>
      <c r="B13" s="49"/>
      <c r="C13" s="263" t="s">
        <v>130</v>
      </c>
      <c r="D13" s="801"/>
      <c r="E13" s="802"/>
      <c r="F13" s="565"/>
      <c r="G13" s="496"/>
      <c r="H13" s="422"/>
      <c r="I13" s="396"/>
      <c r="J13" s="338">
        <v>5.1675000000000004</v>
      </c>
      <c r="K13" s="276">
        <v>0.77600000000000002</v>
      </c>
      <c r="L13" s="51"/>
      <c r="M13" s="24"/>
      <c r="N13" s="24"/>
      <c r="O13" s="24"/>
      <c r="P13" s="519"/>
      <c r="Q13" s="111"/>
      <c r="R13" s="342"/>
      <c r="S13" s="116"/>
      <c r="T13" s="289"/>
      <c r="U13" s="106"/>
      <c r="V13" s="37"/>
      <c r="W13" s="37"/>
    </row>
    <row r="14" spans="1:23" ht="18" customHeight="1" x14ac:dyDescent="0.35">
      <c r="A14" s="50"/>
      <c r="B14" s="850" t="s">
        <v>132</v>
      </c>
      <c r="C14" s="851"/>
      <c r="D14" s="668">
        <f t="shared" ref="D14:K14" si="1">SUM(D13)</f>
        <v>0</v>
      </c>
      <c r="E14" s="667">
        <f t="shared" si="1"/>
        <v>0</v>
      </c>
      <c r="F14" s="545">
        <f t="shared" si="1"/>
        <v>0</v>
      </c>
      <c r="G14" s="471">
        <f t="shared" si="1"/>
        <v>0</v>
      </c>
      <c r="H14" s="361">
        <f t="shared" si="1"/>
        <v>0</v>
      </c>
      <c r="I14" s="361">
        <f t="shared" si="1"/>
        <v>0</v>
      </c>
      <c r="J14" s="309">
        <f t="shared" si="1"/>
        <v>5.1675000000000004</v>
      </c>
      <c r="K14" s="275">
        <f t="shared" si="1"/>
        <v>0.77600000000000002</v>
      </c>
      <c r="L14" s="51"/>
      <c r="M14" s="24"/>
      <c r="N14" s="24"/>
      <c r="O14" s="24"/>
      <c r="P14" s="519"/>
      <c r="Q14" s="111"/>
      <c r="R14" s="342"/>
      <c r="S14" s="116"/>
      <c r="T14" s="289"/>
      <c r="U14" s="106"/>
      <c r="V14" s="37"/>
      <c r="W14" s="37"/>
    </row>
    <row r="15" spans="1:23" ht="18" customHeight="1" x14ac:dyDescent="0.35">
      <c r="A15" s="50"/>
      <c r="B15" s="49"/>
      <c r="C15" s="262"/>
      <c r="D15" s="799"/>
      <c r="E15" s="800"/>
      <c r="F15" s="564"/>
      <c r="G15" s="467"/>
      <c r="H15" s="372"/>
      <c r="I15" s="391"/>
      <c r="J15" s="310"/>
      <c r="K15" s="272"/>
      <c r="L15" s="51"/>
      <c r="M15" s="645"/>
      <c r="N15" s="645"/>
      <c r="O15" s="645"/>
      <c r="P15" s="646"/>
      <c r="Q15" s="210"/>
      <c r="R15" s="343"/>
      <c r="S15" s="209"/>
      <c r="T15" s="314">
        <v>0</v>
      </c>
      <c r="U15" s="107">
        <v>3.2</v>
      </c>
      <c r="V15" s="37"/>
      <c r="W15" s="37"/>
    </row>
    <row r="16" spans="1:23" ht="18" customHeight="1" x14ac:dyDescent="0.35">
      <c r="A16" s="50"/>
      <c r="B16" s="49"/>
      <c r="C16" s="228" t="s">
        <v>127</v>
      </c>
      <c r="D16" s="793">
        <v>16.59</v>
      </c>
      <c r="E16" s="794">
        <v>34.020000000000003</v>
      </c>
      <c r="F16" s="566">
        <v>30.375</v>
      </c>
      <c r="G16" s="468">
        <v>30.375</v>
      </c>
      <c r="H16" s="418">
        <v>30.4</v>
      </c>
      <c r="I16" s="392">
        <v>32.90625</v>
      </c>
      <c r="J16" s="335">
        <v>28.901430000000001</v>
      </c>
      <c r="K16" s="273">
        <v>16.108000000000001</v>
      </c>
      <c r="L16" s="51"/>
      <c r="M16" s="24"/>
      <c r="N16" s="24"/>
      <c r="O16" s="24"/>
      <c r="P16" s="519"/>
      <c r="Q16" s="111"/>
      <c r="R16" s="342"/>
      <c r="S16" s="116"/>
      <c r="T16" s="289"/>
      <c r="U16" s="106"/>
      <c r="V16" s="37"/>
      <c r="W16" s="37"/>
    </row>
    <row r="17" spans="1:23" ht="18" customHeight="1" x14ac:dyDescent="0.35">
      <c r="A17" s="50"/>
      <c r="B17" s="49"/>
      <c r="C17" s="259" t="s">
        <v>128</v>
      </c>
      <c r="D17" s="795">
        <v>19.349</v>
      </c>
      <c r="E17" s="796">
        <v>34.557000000000002</v>
      </c>
      <c r="F17" s="567">
        <v>33.299999999999997</v>
      </c>
      <c r="G17" s="469">
        <v>27.955670000000001</v>
      </c>
      <c r="H17" s="420">
        <v>26.5</v>
      </c>
      <c r="I17" s="394">
        <v>26.355039999999999</v>
      </c>
      <c r="J17" s="307">
        <v>30.24925</v>
      </c>
      <c r="K17" s="237">
        <v>25.617999999999999</v>
      </c>
      <c r="L17" s="51"/>
      <c r="M17" s="24"/>
      <c r="N17" s="24"/>
      <c r="O17" s="24"/>
      <c r="P17" s="519"/>
      <c r="Q17" s="111"/>
      <c r="R17" s="342"/>
      <c r="S17" s="116"/>
      <c r="T17" s="289"/>
      <c r="U17" s="106"/>
      <c r="V17" s="37"/>
      <c r="W17" s="37"/>
    </row>
    <row r="18" spans="1:23" ht="18" customHeight="1" x14ac:dyDescent="0.35">
      <c r="A18" s="50"/>
      <c r="B18" s="49"/>
      <c r="C18" s="259" t="s">
        <v>133</v>
      </c>
      <c r="D18" s="795">
        <v>13.746</v>
      </c>
      <c r="E18" s="796">
        <v>4.6559999999999997</v>
      </c>
      <c r="F18" s="567">
        <v>7.77196</v>
      </c>
      <c r="G18" s="469">
        <v>8.1627899999999993</v>
      </c>
      <c r="H18" s="420">
        <v>9.6</v>
      </c>
      <c r="I18" s="394">
        <v>11.33414</v>
      </c>
      <c r="J18" s="307">
        <v>15.76084</v>
      </c>
      <c r="K18" s="237">
        <v>11.52</v>
      </c>
      <c r="L18" s="51"/>
      <c r="M18" s="24"/>
      <c r="N18" s="24"/>
      <c r="O18" s="24"/>
      <c r="P18" s="519"/>
      <c r="Q18" s="111"/>
      <c r="R18" s="342"/>
      <c r="S18" s="116"/>
      <c r="T18" s="289"/>
      <c r="U18" s="106"/>
      <c r="V18" s="37"/>
      <c r="W18" s="37"/>
    </row>
    <row r="19" spans="1:23" ht="18" customHeight="1" x14ac:dyDescent="0.35">
      <c r="A19" s="50"/>
      <c r="B19" s="49"/>
      <c r="C19" s="259" t="s">
        <v>135</v>
      </c>
      <c r="D19" s="795"/>
      <c r="E19" s="796"/>
      <c r="F19" s="567"/>
      <c r="G19" s="469"/>
      <c r="H19" s="420"/>
      <c r="I19" s="394"/>
      <c r="J19" s="307">
        <v>1.24729</v>
      </c>
      <c r="K19" s="237">
        <v>1.1870000000000001</v>
      </c>
      <c r="L19" s="51"/>
      <c r="M19" s="24"/>
      <c r="N19" s="24"/>
      <c r="O19" s="24"/>
      <c r="P19" s="519"/>
      <c r="Q19" s="111"/>
      <c r="R19" s="342"/>
      <c r="S19" s="116"/>
      <c r="T19" s="289"/>
      <c r="U19" s="106"/>
      <c r="V19" s="37"/>
      <c r="W19" s="37"/>
    </row>
    <row r="20" spans="1:23" ht="18" customHeight="1" x14ac:dyDescent="0.35">
      <c r="A20" s="50"/>
      <c r="B20" s="49"/>
      <c r="C20" s="227" t="s">
        <v>126</v>
      </c>
      <c r="D20" s="797">
        <v>2.36</v>
      </c>
      <c r="E20" s="798">
        <v>11.736000000000001</v>
      </c>
      <c r="F20" s="568">
        <v>13.33456</v>
      </c>
      <c r="G20" s="497">
        <v>10.301769999999999</v>
      </c>
      <c r="H20" s="421">
        <v>10.1</v>
      </c>
      <c r="I20" s="395">
        <v>10.58325</v>
      </c>
      <c r="J20" s="334">
        <v>15.042770000000001</v>
      </c>
      <c r="K20" s="274">
        <v>4.7080000000000002</v>
      </c>
      <c r="L20" s="51"/>
      <c r="M20" s="24"/>
      <c r="N20" s="24"/>
      <c r="O20" s="24"/>
      <c r="P20" s="519"/>
      <c r="Q20" s="111"/>
      <c r="R20" s="342"/>
      <c r="S20" s="116"/>
      <c r="T20" s="289"/>
      <c r="U20" s="106"/>
      <c r="V20" s="37"/>
      <c r="W20" s="37"/>
    </row>
    <row r="21" spans="1:23" ht="18" customHeight="1" x14ac:dyDescent="0.35">
      <c r="A21" s="50"/>
      <c r="B21" s="850" t="s">
        <v>134</v>
      </c>
      <c r="C21" s="851"/>
      <c r="D21" s="668">
        <f t="shared" ref="D21:K21" si="2">SUM(D16:D20)</f>
        <v>52.045000000000002</v>
      </c>
      <c r="E21" s="667">
        <f t="shared" si="2"/>
        <v>84.969000000000008</v>
      </c>
      <c r="F21" s="545">
        <f t="shared" si="2"/>
        <v>84.781519999999986</v>
      </c>
      <c r="G21" s="471">
        <f t="shared" si="2"/>
        <v>76.795230000000004</v>
      </c>
      <c r="H21" s="361">
        <f t="shared" si="2"/>
        <v>76.599999999999994</v>
      </c>
      <c r="I21" s="361">
        <f t="shared" si="2"/>
        <v>81.178680000000014</v>
      </c>
      <c r="J21" s="309">
        <f t="shared" si="2"/>
        <v>91.201580000000007</v>
      </c>
      <c r="K21" s="275">
        <f t="shared" si="2"/>
        <v>59.140999999999991</v>
      </c>
      <c r="L21" s="67"/>
      <c r="M21" s="24"/>
      <c r="N21" s="24"/>
      <c r="O21" s="24"/>
      <c r="P21" s="519"/>
      <c r="Q21" s="111"/>
      <c r="R21" s="342"/>
      <c r="S21" s="116"/>
      <c r="T21" s="289"/>
      <c r="U21" s="106"/>
      <c r="V21" s="37"/>
      <c r="W21" s="37"/>
    </row>
    <row r="22" spans="1:23" ht="18" customHeight="1" x14ac:dyDescent="0.35">
      <c r="A22" s="50"/>
      <c r="B22" s="325"/>
      <c r="C22" s="325"/>
      <c r="D22" s="803"/>
      <c r="E22" s="804"/>
      <c r="F22" s="789"/>
      <c r="G22" s="498"/>
      <c r="H22" s="423"/>
      <c r="I22" s="390"/>
      <c r="J22" s="326"/>
      <c r="K22" s="327"/>
      <c r="L22" s="67"/>
      <c r="M22" s="24"/>
      <c r="N22" s="24"/>
      <c r="O22" s="24"/>
      <c r="P22" s="519"/>
      <c r="Q22" s="111"/>
      <c r="R22" s="342"/>
      <c r="S22" s="116"/>
      <c r="T22" s="289"/>
      <c r="U22" s="106"/>
      <c r="V22" s="37"/>
      <c r="W22" s="37"/>
    </row>
    <row r="23" spans="1:23" ht="18" customHeight="1" x14ac:dyDescent="0.35">
      <c r="A23" s="50"/>
      <c r="B23" s="325"/>
      <c r="C23" s="328" t="s">
        <v>143</v>
      </c>
      <c r="D23" s="805">
        <v>2.0720000000000001</v>
      </c>
      <c r="E23" s="806">
        <v>7.7939999999999996</v>
      </c>
      <c r="F23" s="790">
        <v>8.2289999999999992</v>
      </c>
      <c r="G23" s="499">
        <v>-5.258</v>
      </c>
      <c r="H23" s="424">
        <v>10.9</v>
      </c>
      <c r="I23" s="397">
        <v>17.698720000000002</v>
      </c>
      <c r="J23" s="329">
        <v>56.52572</v>
      </c>
      <c r="K23" s="330"/>
      <c r="L23" s="67"/>
      <c r="M23" s="197" t="s">
        <v>141</v>
      </c>
      <c r="N23" s="197">
        <v>0.22</v>
      </c>
      <c r="O23" s="197">
        <v>1.9379999999999999</v>
      </c>
      <c r="P23" s="644">
        <v>0.53</v>
      </c>
      <c r="Q23" s="210">
        <v>3.3479999999999999</v>
      </c>
      <c r="R23" s="343">
        <v>2.1</v>
      </c>
      <c r="S23" s="209">
        <v>0.71382999999999996</v>
      </c>
      <c r="T23" s="314">
        <v>17.402539999999998</v>
      </c>
      <c r="U23" s="107"/>
      <c r="V23" s="37"/>
      <c r="W23" s="37"/>
    </row>
    <row r="24" spans="1:23" ht="18" customHeight="1" x14ac:dyDescent="0.35">
      <c r="A24" s="50"/>
      <c r="B24" s="318" t="s">
        <v>142</v>
      </c>
      <c r="C24" s="319"/>
      <c r="D24" s="668">
        <f>SUM(D23)</f>
        <v>2.0720000000000001</v>
      </c>
      <c r="E24" s="667">
        <f>SUM(E23)</f>
        <v>7.7939999999999996</v>
      </c>
      <c r="F24" s="545">
        <f>SUM(F23)</f>
        <v>8.2289999999999992</v>
      </c>
      <c r="G24" s="471">
        <f>G23</f>
        <v>-5.258</v>
      </c>
      <c r="H24" s="361">
        <f>H23</f>
        <v>10.9</v>
      </c>
      <c r="I24" s="361">
        <f>I23</f>
        <v>17.698720000000002</v>
      </c>
      <c r="J24" s="309">
        <f>J23</f>
        <v>56.52572</v>
      </c>
      <c r="K24" s="275"/>
      <c r="L24" s="67"/>
      <c r="M24" s="97"/>
      <c r="N24" s="97"/>
      <c r="O24" s="97"/>
      <c r="P24" s="519"/>
      <c r="Q24" s="111"/>
      <c r="R24" s="342"/>
      <c r="S24" s="116"/>
      <c r="T24" s="289"/>
      <c r="U24" s="106"/>
      <c r="V24" s="37"/>
      <c r="W24" s="37"/>
    </row>
    <row r="25" spans="1:23" ht="18" customHeight="1" x14ac:dyDescent="0.35">
      <c r="B25" s="3"/>
      <c r="C25" s="2"/>
      <c r="D25" s="748"/>
      <c r="E25" s="123"/>
      <c r="F25" s="569"/>
      <c r="G25" s="114"/>
      <c r="H25" s="425"/>
      <c r="I25" s="128"/>
      <c r="J25" s="315"/>
      <c r="K25" s="133"/>
      <c r="L25" s="74"/>
      <c r="M25" s="39"/>
      <c r="N25" s="39"/>
      <c r="O25" s="39"/>
      <c r="P25" s="524"/>
      <c r="Q25" s="114"/>
      <c r="R25" s="358"/>
      <c r="S25" s="119"/>
      <c r="T25" s="315"/>
      <c r="U25" s="133"/>
    </row>
    <row r="26" spans="1:23" ht="18" customHeight="1" x14ac:dyDescent="0.35">
      <c r="B26" s="10" t="s">
        <v>50</v>
      </c>
      <c r="C26" s="56"/>
      <c r="D26" s="670">
        <f>SUM(D11,D14,D21,D24)</f>
        <v>54.150000000000006</v>
      </c>
      <c r="E26" s="669">
        <f>SUM(E11,E14,E21,E24)</f>
        <v>92.763000000000005</v>
      </c>
      <c r="F26" s="547">
        <f>SUM(F11,F14,F21,F24)</f>
        <v>93.010519999999985</v>
      </c>
      <c r="G26" s="500">
        <f>G11+G14+G21+G24</f>
        <v>71.537230000000008</v>
      </c>
      <c r="H26" s="373">
        <f>H11+H14+H21+H24</f>
        <v>87.6</v>
      </c>
      <c r="I26" s="384">
        <f>I11+I14+I21+I24</f>
        <v>100.7244</v>
      </c>
      <c r="J26" s="339">
        <f>J11+J14+J21+J24</f>
        <v>159.65145000000001</v>
      </c>
      <c r="K26" s="148">
        <f>K11+K14+K21</f>
        <v>63.270999999999994</v>
      </c>
      <c r="L26" s="74"/>
      <c r="M26" s="28" t="s">
        <v>51</v>
      </c>
      <c r="N26" s="666">
        <f>SUM(N7:N23)</f>
        <v>8.6340000000000003</v>
      </c>
      <c r="O26" s="108">
        <f>SUM(O7:O23)</f>
        <v>49.212000000000003</v>
      </c>
      <c r="P26" s="525">
        <f>SUM(P7:P23)</f>
        <v>56.171530000000004</v>
      </c>
      <c r="Q26" s="466">
        <f>SUM(Q7:Q25)</f>
        <v>58.517859999999999</v>
      </c>
      <c r="R26" s="350">
        <f t="shared" ref="R26" si="3">SUM(R7:R25)</f>
        <v>59.800000000000004</v>
      </c>
      <c r="S26" s="388">
        <f>SUM(S7:S25)</f>
        <v>81.355339999999998</v>
      </c>
      <c r="T26" s="317">
        <f>SUM(T7:T25)</f>
        <v>121.239588</v>
      </c>
      <c r="U26" s="108">
        <f>SUM(U7:U25)</f>
        <v>56.93</v>
      </c>
    </row>
    <row r="27" spans="1:23" ht="18" customHeight="1" x14ac:dyDescent="0.35">
      <c r="B27" s="36"/>
      <c r="C27" s="36"/>
      <c r="D27" s="749"/>
      <c r="E27" s="36"/>
      <c r="F27" s="550"/>
      <c r="G27" s="111"/>
      <c r="H27" s="369"/>
      <c r="I27" s="127"/>
      <c r="J27" s="289"/>
      <c r="K27" s="106"/>
      <c r="L27" s="74"/>
      <c r="M27" s="24"/>
      <c r="N27" s="24"/>
      <c r="O27" s="24"/>
      <c r="P27" s="519"/>
      <c r="Q27" s="342"/>
      <c r="R27" s="24"/>
      <c r="S27" s="116"/>
      <c r="T27" s="24"/>
      <c r="U27" s="109"/>
    </row>
    <row r="28" spans="1:23" ht="18" customHeight="1" x14ac:dyDescent="0.35">
      <c r="B28" s="261" t="s">
        <v>157</v>
      </c>
      <c r="C28" s="58"/>
      <c r="D28" s="672">
        <f t="shared" ref="D28:K28" si="4">N26-D26</f>
        <v>-45.516000000000005</v>
      </c>
      <c r="E28" s="671">
        <f t="shared" si="4"/>
        <v>-43.551000000000002</v>
      </c>
      <c r="F28" s="628">
        <f t="shared" si="4"/>
        <v>-36.838989999999981</v>
      </c>
      <c r="G28" s="501">
        <f t="shared" si="4"/>
        <v>-13.019370000000009</v>
      </c>
      <c r="H28" s="374">
        <f t="shared" si="4"/>
        <v>-27.79999999999999</v>
      </c>
      <c r="I28" s="385">
        <f t="shared" si="4"/>
        <v>-19.369060000000005</v>
      </c>
      <c r="J28" s="321">
        <f t="shared" si="4"/>
        <v>-38.411862000000013</v>
      </c>
      <c r="K28" s="126">
        <f t="shared" si="4"/>
        <v>-6.340999999999994</v>
      </c>
      <c r="M28" s="26"/>
      <c r="N28" s="26"/>
      <c r="O28" s="26"/>
      <c r="P28" s="519"/>
      <c r="Q28" s="342"/>
      <c r="R28" s="26"/>
      <c r="S28" s="116"/>
      <c r="T28" s="26"/>
      <c r="U28" s="109"/>
    </row>
    <row r="29" spans="1:23" x14ac:dyDescent="0.35">
      <c r="B29" s="37"/>
      <c r="C29" s="37"/>
      <c r="D29" s="37"/>
      <c r="E29" s="37"/>
      <c r="F29" s="523"/>
      <c r="G29" s="369"/>
      <c r="H29" s="37"/>
      <c r="I29" s="127"/>
      <c r="J29" s="37"/>
      <c r="K29" s="109"/>
      <c r="M29" s="24"/>
      <c r="N29" s="24"/>
      <c r="O29" s="24"/>
      <c r="P29" s="519"/>
      <c r="Q29" s="342"/>
      <c r="R29" s="24"/>
      <c r="S29" s="116"/>
      <c r="T29" s="24"/>
      <c r="U29" s="109"/>
    </row>
    <row r="30" spans="1:23" x14ac:dyDescent="0.35">
      <c r="B30" s="37"/>
      <c r="C30" s="37"/>
      <c r="D30" s="37"/>
      <c r="E30" s="37"/>
      <c r="F30" s="523"/>
      <c r="G30" s="369"/>
      <c r="H30" s="37"/>
      <c r="I30" s="127"/>
      <c r="J30" s="37"/>
      <c r="K30" s="109"/>
      <c r="M30" s="24"/>
      <c r="N30" s="24"/>
      <c r="O30" s="24"/>
      <c r="P30" s="519"/>
      <c r="Q30" s="342"/>
      <c r="R30" s="24"/>
      <c r="S30" s="116"/>
      <c r="T30" s="24"/>
      <c r="U30" s="109"/>
    </row>
  </sheetData>
  <mergeCells count="6">
    <mergeCell ref="B21:C21"/>
    <mergeCell ref="B2:C2"/>
    <mergeCell ref="C4:C5"/>
    <mergeCell ref="M4:M5"/>
    <mergeCell ref="B11:C11"/>
    <mergeCell ref="B14:C14"/>
  </mergeCells>
  <pageMargins left="0.70866141732283472" right="0.70866141732283472" top="0.23622047244094491" bottom="0.31496062992125984" header="0.19685039370078741" footer="0.31496062992125984"/>
  <pageSetup paperSize="9" scale="74" orientation="landscape" r:id="rId1"/>
  <headerFooter>
    <oddFooter xml:space="preserve">&amp;L_x000D_&amp;1#&amp;"Aptos"&amp;10&amp;K000000 Data sensitivity - Internal&amp;RPage 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Global</vt:lpstr>
      <vt:lpstr>Vie associative</vt:lpstr>
      <vt:lpstr>Charges de structure</vt:lpstr>
      <vt:lpstr>Activité scrabble</vt:lpstr>
      <vt:lpstr>Secteur commercial</vt:lpstr>
      <vt:lpstr>'Activité scrabble'!Zone_d_impression</vt:lpstr>
      <vt:lpstr>'Charges de structure'!Zone_d_impression</vt:lpstr>
      <vt:lpstr>Global!Zone_d_impression</vt:lpstr>
      <vt:lpstr>'Secteur commercial'!Zone_d_impression</vt:lpstr>
      <vt:lpstr>'Vie associative'!Zone_d_impression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2015-04-29T20:11:14Z</cp:lastPrinted>
  <dcterms:created xsi:type="dcterms:W3CDTF">2006-09-12T15:06:44Z</dcterms:created>
  <dcterms:modified xsi:type="dcterms:W3CDTF">2026-01-13T15:19:47Z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294d68a-d2f5-40e0-927d-026bfab8fc4b_Enabled">
    <vt:lpwstr>true</vt:lpwstr>
  </property>
  <property fmtid="{D5CDD505-2E9C-101B-9397-08002B2CF9AE}" pid="5" name="MSIP_Label_c294d68a-d2f5-40e0-927d-026bfab8fc4b_SetDate">
    <vt:lpwstr>2026-01-13T15:19:39Z</vt:lpwstr>
  </property>
  <property fmtid="{D5CDD505-2E9C-101B-9397-08002B2CF9AE}" pid="6" name="MSIP_Label_c294d68a-d2f5-40e0-927d-026bfab8fc4b_Method">
    <vt:lpwstr>Privileged</vt:lpwstr>
  </property>
  <property fmtid="{D5CDD505-2E9C-101B-9397-08002B2CF9AE}" pid="7" name="MSIP_Label_c294d68a-d2f5-40e0-927d-026bfab8fc4b_Name">
    <vt:lpwstr>l1_internal</vt:lpwstr>
  </property>
  <property fmtid="{D5CDD505-2E9C-101B-9397-08002B2CF9AE}" pid="8" name="MSIP_Label_c294d68a-d2f5-40e0-927d-026bfab8fc4b_SiteId">
    <vt:lpwstr>a5877034-8d6a-496a-8cf8-ceb5e3451109</vt:lpwstr>
  </property>
  <property fmtid="{D5CDD505-2E9C-101B-9397-08002B2CF9AE}" pid="9" name="MSIP_Label_c294d68a-d2f5-40e0-927d-026bfab8fc4b_ActionId">
    <vt:lpwstr>238f99e8-5840-46dd-9706-e2549d9a84c8</vt:lpwstr>
  </property>
  <property fmtid="{D5CDD505-2E9C-101B-9397-08002B2CF9AE}" pid="10" name="MSIP_Label_c294d68a-d2f5-40e0-927d-026bfab8fc4b_ContentBits">
    <vt:lpwstr>2</vt:lpwstr>
  </property>
  <property fmtid="{D5CDD505-2E9C-101B-9397-08002B2CF9AE}" pid="11" name="MSIP_Label_c294d68a-d2f5-40e0-927d-026bfab8fc4b_Tag">
    <vt:lpwstr>10, 0, 1, 1</vt:lpwstr>
  </property>
</Properties>
</file>